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arry\Desktop\RUC\"/>
    </mc:Choice>
  </mc:AlternateContent>
  <xr:revisionPtr revIDLastSave="0" documentId="8_{B299237B-D40B-4145-AFCC-4CD4FDDC5EF2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Energibalance 2025" sheetId="2" r:id="rId1"/>
    <sheet name="Energibalance - Gamle" sheetId="1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7" i="2" l="1"/>
  <c r="B30" i="2"/>
  <c r="Q56" i="2" s="1"/>
  <c r="U6" i="2"/>
  <c r="U5" i="2"/>
  <c r="U11" i="2"/>
  <c r="U10" i="2"/>
  <c r="I59" i="2"/>
  <c r="M8" i="1"/>
  <c r="M14" i="1"/>
  <c r="C19" i="1"/>
  <c r="L11" i="2"/>
  <c r="V38" i="2"/>
  <c r="V36" i="2"/>
  <c r="L16" i="2"/>
  <c r="P13" i="2"/>
  <c r="U27" i="2"/>
  <c r="L18" i="2"/>
  <c r="L10" i="2"/>
  <c r="S41" i="2"/>
  <c r="H19" i="2"/>
  <c r="H11" i="2"/>
  <c r="G18" i="2"/>
  <c r="G19" i="2"/>
  <c r="G17" i="2"/>
  <c r="E53" i="2"/>
  <c r="E50" i="2"/>
  <c r="T48" i="2"/>
  <c r="G41" i="2"/>
  <c r="H37" i="2"/>
  <c r="L39" i="2"/>
  <c r="L33" i="2"/>
  <c r="E51" i="2"/>
  <c r="E52" i="2"/>
  <c r="F41" i="2"/>
  <c r="B24" i="2"/>
  <c r="B34" i="2" s="1"/>
  <c r="L9" i="2"/>
  <c r="P24" i="2"/>
  <c r="B25" i="2"/>
  <c r="P38" i="2"/>
  <c r="P39" i="2"/>
  <c r="L37" i="2" s="1"/>
  <c r="L36" i="2" s="1"/>
  <c r="S47" i="2"/>
  <c r="S46" i="2"/>
  <c r="S44" i="2"/>
  <c r="S45" i="2"/>
  <c r="U22" i="2"/>
  <c r="V22" i="2"/>
  <c r="Q48" i="2"/>
  <c r="P47" i="2"/>
  <c r="R47" i="2" s="1"/>
  <c r="P46" i="2"/>
  <c r="R46" i="2" s="1"/>
  <c r="P45" i="2"/>
  <c r="R45" i="2" s="1"/>
  <c r="F46" i="2"/>
  <c r="G47" i="2" s="1"/>
  <c r="P44" i="2"/>
  <c r="R44" i="2" s="1"/>
  <c r="Q41" i="2"/>
  <c r="P40" i="2"/>
  <c r="R40" i="2" s="1"/>
  <c r="P37" i="2"/>
  <c r="R37" i="2" s="1"/>
  <c r="P36" i="2"/>
  <c r="R36" i="2" s="1"/>
  <c r="P31" i="2"/>
  <c r="L32" i="2" s="1"/>
  <c r="Q25" i="2"/>
  <c r="P19" i="2"/>
  <c r="X5" i="1"/>
  <c r="C9" i="1"/>
  <c r="C8" i="1"/>
  <c r="C10" i="1" s="1"/>
  <c r="B31" i="2" l="1"/>
  <c r="X8" i="2"/>
  <c r="X9" i="2" s="1"/>
  <c r="F43" i="2"/>
  <c r="F42" i="2" s="1"/>
  <c r="L38" i="2"/>
  <c r="L31" i="2" s="1"/>
  <c r="B35" i="2"/>
  <c r="G35" i="2" s="1"/>
  <c r="L17" i="2"/>
  <c r="R48" i="2"/>
  <c r="R41" i="2"/>
  <c r="G36" i="2"/>
  <c r="G37" i="2" s="1"/>
  <c r="G32" i="2" s="1"/>
  <c r="S48" i="2"/>
  <c r="B12" i="2"/>
  <c r="L8" i="2" s="1"/>
  <c r="P41" i="2"/>
  <c r="P22" i="2"/>
  <c r="P25" i="2" s="1"/>
  <c r="R25" i="2" s="1"/>
  <c r="P48" i="2"/>
  <c r="G42" i="1"/>
  <c r="E54" i="2" l="1"/>
  <c r="G33" i="2"/>
  <c r="G34" i="2" s="1"/>
  <c r="J41" i="1"/>
  <c r="G44" i="1"/>
  <c r="J42" i="1"/>
  <c r="J43" i="1"/>
  <c r="G15" i="2" l="1"/>
  <c r="G16" i="2"/>
  <c r="J45" i="1"/>
  <c r="H17" i="1"/>
  <c r="H13" i="1" s="1"/>
  <c r="H14" i="1"/>
  <c r="X3" i="1" l="1"/>
  <c r="G23" i="2"/>
  <c r="G24" i="2" s="1"/>
  <c r="I17" i="1"/>
  <c r="R23" i="1"/>
  <c r="R50" i="1"/>
  <c r="Q48" i="1"/>
  <c r="Q49" i="1"/>
  <c r="R45" i="1"/>
  <c r="Q41" i="1"/>
  <c r="Q42" i="1"/>
  <c r="Q43" i="1"/>
  <c r="Q44" i="1"/>
  <c r="R38" i="1"/>
  <c r="Q33" i="1"/>
  <c r="Q34" i="1"/>
  <c r="Q35" i="1"/>
  <c r="Q36" i="1"/>
  <c r="Q37" i="1"/>
  <c r="Q17" i="1"/>
  <c r="C13" i="1"/>
  <c r="Q28" i="1"/>
  <c r="C23" i="1"/>
  <c r="Q22" i="1"/>
  <c r="C25" i="1"/>
  <c r="H24" i="1"/>
  <c r="H21" i="1" s="1"/>
  <c r="I24" i="1" s="1"/>
  <c r="Q20" i="1"/>
  <c r="Q23" i="1" s="1"/>
  <c r="C16" i="1"/>
  <c r="C18" i="1"/>
  <c r="X7" i="1" s="1"/>
  <c r="Q11" i="1"/>
  <c r="C5" i="1"/>
  <c r="M26" i="1"/>
  <c r="M28" i="1" s="1"/>
  <c r="L12" i="2" l="1"/>
  <c r="M16" i="1"/>
  <c r="M15" i="1" s="1"/>
  <c r="H30" i="1" s="1"/>
  <c r="M29" i="1"/>
  <c r="X8" i="1"/>
  <c r="R54" i="1"/>
  <c r="Q45" i="1"/>
  <c r="S45" i="1"/>
  <c r="S23" i="1"/>
  <c r="M9" i="1"/>
  <c r="R11" i="1" s="1"/>
  <c r="Q50" i="1"/>
  <c r="S50" i="1" s="1"/>
  <c r="Q38" i="1"/>
  <c r="C17" i="1" l="1"/>
  <c r="S38" i="1"/>
  <c r="H31" i="1"/>
  <c r="M6" i="1" s="1"/>
  <c r="H35" i="1"/>
  <c r="X9" i="1" s="1"/>
  <c r="X4" i="1"/>
  <c r="X6" i="1" l="1"/>
  <c r="AA6" i="1" s="1"/>
  <c r="AA7" i="1" s="1"/>
  <c r="I35" i="1"/>
  <c r="P57" i="1" s="1"/>
  <c r="M10" i="1"/>
  <c r="H33" i="1"/>
  <c r="C22" i="1" s="1"/>
  <c r="H34" i="1" l="1"/>
  <c r="C24" i="1" s="1"/>
  <c r="C26" i="1" s="1"/>
  <c r="C28" i="1" l="1"/>
  <c r="R53" i="1"/>
  <c r="R55" i="1" s="1"/>
  <c r="O60" i="2" l="1"/>
  <c r="Q58" i="2"/>
</calcChain>
</file>

<file path=xl/sharedStrings.xml><?xml version="1.0" encoding="utf-8"?>
<sst xmlns="http://schemas.openxmlformats.org/spreadsheetml/2006/main" count="290" uniqueCount="148">
  <si>
    <t>Energibalance: Copenhagen 2025</t>
  </si>
  <si>
    <t>Gruppe: Solcellerne - Ida Marie Roed, Asbjørn Kure, Matti Ruders, Max Meinicke</t>
  </si>
  <si>
    <t>Energikilder</t>
  </si>
  <si>
    <t>Konvertering</t>
  </si>
  <si>
    <t>Forbrug</t>
  </si>
  <si>
    <t>Alle tal i GWh</t>
  </si>
  <si>
    <t>Import el (netto)</t>
  </si>
  <si>
    <t>Elnet</t>
  </si>
  <si>
    <t>Produktion</t>
  </si>
  <si>
    <t>Lokal VE elproduktion</t>
  </si>
  <si>
    <t>Netto import</t>
  </si>
  <si>
    <t>Elektricitet</t>
  </si>
  <si>
    <t>- Solceller</t>
  </si>
  <si>
    <t>Nettab</t>
  </si>
  <si>
    <t>- Offentlige</t>
  </si>
  <si>
    <t>- Vindmøller</t>
  </si>
  <si>
    <t>forbrug</t>
  </si>
  <si>
    <t>- Virksomheder</t>
  </si>
  <si>
    <t>Total</t>
  </si>
  <si>
    <t>VE faktor</t>
  </si>
  <si>
    <t>- Husholdninger</t>
  </si>
  <si>
    <t>tab</t>
  </si>
  <si>
    <t>Lokal VE varmeproduktion</t>
  </si>
  <si>
    <t>Kraftvarmeanlæg</t>
  </si>
  <si>
    <t>- Geotermi</t>
  </si>
  <si>
    <t>Varmeproduktion</t>
  </si>
  <si>
    <t>Fjernvarmenet</t>
  </si>
  <si>
    <t>Fjernvarme</t>
  </si>
  <si>
    <t>Elproduktion</t>
  </si>
  <si>
    <t>Resttræ</t>
  </si>
  <si>
    <t>Træpiller</t>
  </si>
  <si>
    <t>Tab</t>
  </si>
  <si>
    <t>Total (brændsel)</t>
  </si>
  <si>
    <t>Individuel opvarmning</t>
  </si>
  <si>
    <t>Brændselsforbrug</t>
  </si>
  <si>
    <t>Varmeforbrug</t>
  </si>
  <si>
    <t>Varmepumpe</t>
  </si>
  <si>
    <t>- Jord/vand &amp; luft/vand Varmepumpe</t>
  </si>
  <si>
    <t>350% effektivitet</t>
  </si>
  <si>
    <t>Biomasse</t>
  </si>
  <si>
    <t>- Elvarme</t>
  </si>
  <si>
    <t>- Affald</t>
  </si>
  <si>
    <t>El - forbrug</t>
  </si>
  <si>
    <t>- Varmepumpe</t>
  </si>
  <si>
    <t>- Spildevand</t>
  </si>
  <si>
    <t>Import Biomasse</t>
  </si>
  <si>
    <t>- Træpiller</t>
  </si>
  <si>
    <t>Bygas</t>
  </si>
  <si>
    <t>- Græs/Hækafklip</t>
  </si>
  <si>
    <t>- Industri</t>
  </si>
  <si>
    <t>- Resttræ</t>
  </si>
  <si>
    <t>Bygasværker</t>
  </si>
  <si>
    <t>- Husholdninger mv.</t>
  </si>
  <si>
    <t>Totalt input</t>
  </si>
  <si>
    <t xml:space="preserve">Biogas </t>
  </si>
  <si>
    <t>Affaldsforbrænding</t>
  </si>
  <si>
    <t>Plastik</t>
  </si>
  <si>
    <t>Transport</t>
  </si>
  <si>
    <t>Udsorteret af plastik</t>
  </si>
  <si>
    <t>Vejtrafik</t>
  </si>
  <si>
    <t>Fremdrift</t>
  </si>
  <si>
    <t>Elforbrug konvertering</t>
  </si>
  <si>
    <t>Affald uden plastik</t>
  </si>
  <si>
    <t xml:space="preserve">Total </t>
  </si>
  <si>
    <t xml:space="preserve">Affald (kilde) </t>
  </si>
  <si>
    <t>Opgradering af gas</t>
  </si>
  <si>
    <t>- Personbiler</t>
  </si>
  <si>
    <t>Reference</t>
  </si>
  <si>
    <t>Biomasse import</t>
  </si>
  <si>
    <t>Gas behov</t>
  </si>
  <si>
    <t>- Varebiler</t>
  </si>
  <si>
    <t>El</t>
  </si>
  <si>
    <t>Biogas input</t>
  </si>
  <si>
    <t>- Lastbiler (Biobrændsel)</t>
  </si>
  <si>
    <t>Varme</t>
  </si>
  <si>
    <t>- Gasbusser</t>
  </si>
  <si>
    <t>Naturgas</t>
  </si>
  <si>
    <t>- Motorcykler</t>
  </si>
  <si>
    <t>Affald</t>
  </si>
  <si>
    <t>Spildevand</t>
  </si>
  <si>
    <t>Biogas Forbrug</t>
  </si>
  <si>
    <t>Togtrafik (eldrevet)</t>
  </si>
  <si>
    <t>elforbrug</t>
  </si>
  <si>
    <t>Ny Elforbrug</t>
  </si>
  <si>
    <t>Ny Fremdrift</t>
  </si>
  <si>
    <t>Spildevandsanlæg</t>
  </si>
  <si>
    <t>- Metro</t>
  </si>
  <si>
    <t>Græs/Haveaffald</t>
  </si>
  <si>
    <t>Biogasproduktion</t>
  </si>
  <si>
    <t>- S-tog</t>
  </si>
  <si>
    <t>Biogas</t>
  </si>
  <si>
    <t xml:space="preserve">Spildevand </t>
  </si>
  <si>
    <t>- Passagertog (el)</t>
  </si>
  <si>
    <t>Biobrændsel</t>
  </si>
  <si>
    <t>- Godstog (el)</t>
  </si>
  <si>
    <t>Biobrændselsraffinaderi</t>
  </si>
  <si>
    <t>Total produktion</t>
  </si>
  <si>
    <t>Fast biomasse</t>
  </si>
  <si>
    <t>Konverteringseffektivitet: 85%</t>
  </si>
  <si>
    <t>output: 38% biobrændstof</t>
  </si>
  <si>
    <t>Resursetræk</t>
  </si>
  <si>
    <t>output: 47% biomasse</t>
  </si>
  <si>
    <t>Input</t>
  </si>
  <si>
    <t>tab: 15%</t>
  </si>
  <si>
    <t>Topdown Energitab</t>
  </si>
  <si>
    <t>Energibalance: Copenhagen</t>
  </si>
  <si>
    <t>Emmissionsfaktor</t>
  </si>
  <si>
    <t>Energiform</t>
  </si>
  <si>
    <t>KG CO2/GWh</t>
  </si>
  <si>
    <t>Udledt CO2</t>
  </si>
  <si>
    <t>Stenkul</t>
  </si>
  <si>
    <t>Olie/diesel</t>
  </si>
  <si>
    <t>Samlet udled.</t>
  </si>
  <si>
    <t>kg CO2/GWh</t>
  </si>
  <si>
    <t>Årsemmision</t>
  </si>
  <si>
    <t>kg CO2/GWy</t>
  </si>
  <si>
    <t>Biomasse/gas</t>
  </si>
  <si>
    <t>Fossile brændsler</t>
  </si>
  <si>
    <t>Kul</t>
  </si>
  <si>
    <t>Christinas resultat: 1380,52 GWh?</t>
  </si>
  <si>
    <t>- Kul</t>
  </si>
  <si>
    <t>- Olie</t>
  </si>
  <si>
    <t>- Naturgas</t>
  </si>
  <si>
    <t>Varmeanlæg</t>
  </si>
  <si>
    <t>- Oliefyr</t>
  </si>
  <si>
    <t>Olie</t>
  </si>
  <si>
    <t>- Brændeovne</t>
  </si>
  <si>
    <t xml:space="preserve">Resttræ (kilde) </t>
  </si>
  <si>
    <t>Lastbiler</t>
  </si>
  <si>
    <t>- Busser</t>
  </si>
  <si>
    <t>Biogasleverance</t>
  </si>
  <si>
    <t>Biogas anvendelse</t>
  </si>
  <si>
    <t>Togtrafik (dieseldrevet)</t>
  </si>
  <si>
    <t>- Passagertog (diesel)</t>
  </si>
  <si>
    <t>- Godstog (diesel)</t>
  </si>
  <si>
    <t xml:space="preserve">Biogas-anlæg </t>
  </si>
  <si>
    <t>Biobrændsel behov</t>
  </si>
  <si>
    <t>Biobrændsel input</t>
  </si>
  <si>
    <t>Biogas produktion</t>
  </si>
  <si>
    <t>biogas input</t>
  </si>
  <si>
    <t>Import biomasse</t>
  </si>
  <si>
    <t>Ressourcetræk</t>
  </si>
  <si>
    <t>total tab ca.</t>
  </si>
  <si>
    <t>Ton CO2/GWh</t>
  </si>
  <si>
    <t>Ton CO2/GWy</t>
  </si>
  <si>
    <t>El (Kraftvarme)</t>
  </si>
  <si>
    <t>El (Affald, sorteret)</t>
  </si>
  <si>
    <t>El-forbrug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</si>
</sst>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2"/>
      <color theme="1"/>
      <name val="Helvetica"/>
      <family val="2"/>
    </font>
    <font>
      <sz val="28"/>
      <color theme="3"/>
      <name val="Calibri Light"/>
      <family val="2"/>
      <scheme val="major"/>
    </font>
    <font>
      <strike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7" applyNumberFormat="0" applyFill="0" applyAlignment="0" applyProtection="0"/>
  </cellStyleXfs>
  <cellXfs count="204">
    <xf numFmtId="0" fontId="0" fillId="0" borderId="0" xfId="0"/>
    <xf numFmtId="0" fontId="3" fillId="0" borderId="0" xfId="0" applyFont="1"/>
    <xf numFmtId="164" fontId="0" fillId="0" borderId="0" xfId="0" applyNumberFormat="1"/>
    <xf numFmtId="3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2" xfId="0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0" fillId="0" borderId="5" xfId="0" applyNumberFormat="1" applyBorder="1"/>
    <xf numFmtId="0" fontId="0" fillId="0" borderId="5" xfId="0" applyBorder="1"/>
    <xf numFmtId="3" fontId="0" fillId="0" borderId="5" xfId="0" applyNumberFormat="1" applyBorder="1" applyAlignment="1">
      <alignment horizontal="center"/>
    </xf>
    <xf numFmtId="0" fontId="0" fillId="0" borderId="6" xfId="0" quotePrefix="1" applyBorder="1"/>
    <xf numFmtId="165" fontId="0" fillId="0" borderId="7" xfId="0" applyNumberFormat="1" applyBorder="1"/>
    <xf numFmtId="0" fontId="0" fillId="0" borderId="6" xfId="0" applyBorder="1"/>
    <xf numFmtId="164" fontId="0" fillId="0" borderId="7" xfId="0" applyNumberFormat="1" applyBorder="1"/>
    <xf numFmtId="3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164" fontId="2" fillId="0" borderId="9" xfId="0" applyNumberFormat="1" applyFont="1" applyBorder="1"/>
    <xf numFmtId="0" fontId="0" fillId="0" borderId="8" xfId="0" applyFill="1" applyBorder="1"/>
    <xf numFmtId="10" fontId="0" fillId="0" borderId="9" xfId="0" applyNumberFormat="1" applyBorder="1"/>
    <xf numFmtId="3" fontId="2" fillId="0" borderId="3" xfId="0" applyNumberFormat="1" applyFont="1" applyBorder="1"/>
    <xf numFmtId="0" fontId="0" fillId="0" borderId="8" xfId="0" quotePrefix="1" applyBorder="1"/>
    <xf numFmtId="0" fontId="5" fillId="0" borderId="6" xfId="0" applyFont="1" applyFill="1" applyBorder="1"/>
    <xf numFmtId="3" fontId="5" fillId="0" borderId="7" xfId="0" applyNumberFormat="1" applyFont="1" applyBorder="1"/>
    <xf numFmtId="0" fontId="2" fillId="0" borderId="2" xfId="0" quotePrefix="1" applyFont="1" applyBorder="1"/>
    <xf numFmtId="3" fontId="0" fillId="0" borderId="10" xfId="0" applyNumberFormat="1" applyFont="1" applyBorder="1" applyAlignment="1">
      <alignment horizontal="center"/>
    </xf>
    <xf numFmtId="0" fontId="0" fillId="0" borderId="5" xfId="0" applyFont="1" applyBorder="1"/>
    <xf numFmtId="3" fontId="0" fillId="0" borderId="0" xfId="0" applyNumberFormat="1" applyBorder="1"/>
    <xf numFmtId="3" fontId="2" fillId="0" borderId="11" xfId="0" applyNumberFormat="1" applyFont="1" applyBorder="1"/>
    <xf numFmtId="0" fontId="0" fillId="0" borderId="0" xfId="0" applyFill="1" applyBorder="1"/>
    <xf numFmtId="3" fontId="0" fillId="0" borderId="9" xfId="0" applyNumberFormat="1" applyBorder="1"/>
    <xf numFmtId="0" fontId="2" fillId="0" borderId="0" xfId="0" applyFont="1"/>
    <xf numFmtId="0" fontId="6" fillId="0" borderId="4" xfId="0" applyFont="1" applyBorder="1"/>
    <xf numFmtId="0" fontId="0" fillId="0" borderId="5" xfId="0" applyFont="1" applyBorder="1" applyAlignment="1">
      <alignment horizontal="center"/>
    </xf>
    <xf numFmtId="0" fontId="2" fillId="0" borderId="12" xfId="0" applyFont="1" applyBorder="1"/>
    <xf numFmtId="164" fontId="2" fillId="0" borderId="13" xfId="0" applyNumberFormat="1" applyFont="1" applyBorder="1"/>
    <xf numFmtId="0" fontId="6" fillId="0" borderId="6" xfId="0" applyFont="1" applyBorder="1"/>
    <xf numFmtId="3" fontId="0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0" xfId="0" applyNumberFormat="1" applyBorder="1"/>
    <xf numFmtId="164" fontId="2" fillId="0" borderId="3" xfId="0" applyNumberFormat="1" applyFont="1" applyFill="1" applyBorder="1"/>
    <xf numFmtId="0" fontId="0" fillId="0" borderId="14" xfId="0" applyBorder="1"/>
    <xf numFmtId="164" fontId="0" fillId="0" borderId="15" xfId="0" applyNumberFormat="1" applyBorder="1"/>
    <xf numFmtId="0" fontId="0" fillId="0" borderId="16" xfId="0" applyBorder="1"/>
    <xf numFmtId="164" fontId="0" fillId="0" borderId="17" xfId="0" applyNumberFormat="1" applyBorder="1"/>
    <xf numFmtId="0" fontId="2" fillId="0" borderId="14" xfId="0" applyFont="1" applyBorder="1"/>
    <xf numFmtId="0" fontId="0" fillId="0" borderId="18" xfId="0" applyBorder="1"/>
    <xf numFmtId="0" fontId="0" fillId="0" borderId="16" xfId="0" applyFill="1" applyBorder="1"/>
    <xf numFmtId="0" fontId="0" fillId="0" borderId="20" xfId="0" applyFont="1" applyBorder="1"/>
    <xf numFmtId="164" fontId="0" fillId="0" borderId="21" xfId="0" applyNumberFormat="1" applyFont="1" applyFill="1" applyBorder="1"/>
    <xf numFmtId="0" fontId="0" fillId="0" borderId="22" xfId="0" applyFont="1" applyBorder="1"/>
    <xf numFmtId="164" fontId="0" fillId="0" borderId="23" xfId="0" applyNumberFormat="1" applyFont="1" applyBorder="1"/>
    <xf numFmtId="0" fontId="0" fillId="0" borderId="0" xfId="0" quotePrefix="1"/>
    <xf numFmtId="0" fontId="6" fillId="0" borderId="4" xfId="0" quotePrefix="1" applyFont="1" applyBorder="1"/>
    <xf numFmtId="0" fontId="2" fillId="0" borderId="2" xfId="0" applyFont="1" applyFill="1" applyBorder="1"/>
    <xf numFmtId="164" fontId="0" fillId="0" borderId="19" xfId="0" applyNumberFormat="1" applyBorder="1"/>
    <xf numFmtId="164" fontId="0" fillId="0" borderId="17" xfId="0" applyNumberFormat="1" applyFill="1" applyBorder="1"/>
    <xf numFmtId="0" fontId="0" fillId="0" borderId="4" xfId="0" applyBorder="1"/>
    <xf numFmtId="0" fontId="0" fillId="0" borderId="10" xfId="0" applyBorder="1"/>
    <xf numFmtId="164" fontId="0" fillId="0" borderId="5" xfId="0" applyNumberFormat="1" applyFont="1" applyBorder="1"/>
    <xf numFmtId="0" fontId="0" fillId="0" borderId="11" xfId="0" applyBorder="1"/>
    <xf numFmtId="3" fontId="0" fillId="0" borderId="7" xfId="0" applyNumberFormat="1" applyFont="1" applyBorder="1"/>
    <xf numFmtId="0" fontId="0" fillId="0" borderId="3" xfId="0" applyBorder="1"/>
    <xf numFmtId="3" fontId="1" fillId="0" borderId="0" xfId="0" applyNumberFormat="1" applyFont="1"/>
    <xf numFmtId="3" fontId="1" fillId="0" borderId="0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2" borderId="6" xfId="0" quotePrefix="1" applyFill="1" applyBorder="1"/>
    <xf numFmtId="164" fontId="0" fillId="2" borderId="7" xfId="0" applyNumberFormat="1" applyFill="1" applyBorder="1"/>
    <xf numFmtId="3" fontId="0" fillId="0" borderId="0" xfId="0" applyNumberFormat="1" applyFill="1" applyBorder="1"/>
    <xf numFmtId="0" fontId="0" fillId="0" borderId="6" xfId="0" quotePrefix="1" applyFill="1" applyBorder="1"/>
    <xf numFmtId="0" fontId="0" fillId="0" borderId="6" xfId="0" applyFill="1" applyBorder="1"/>
    <xf numFmtId="165" fontId="9" fillId="0" borderId="0" xfId="0" applyNumberFormat="1" applyFont="1" applyFill="1" applyBorder="1"/>
    <xf numFmtId="0" fontId="9" fillId="0" borderId="0" xfId="0" quotePrefix="1" applyFont="1" applyFill="1" applyBorder="1"/>
    <xf numFmtId="0" fontId="10" fillId="0" borderId="0" xfId="0" applyFont="1" applyFill="1" applyBorder="1"/>
    <xf numFmtId="3" fontId="0" fillId="0" borderId="8" xfId="0" applyNumberFormat="1" applyFill="1" applyBorder="1"/>
    <xf numFmtId="3" fontId="5" fillId="0" borderId="2" xfId="0" applyNumberFormat="1" applyFont="1" applyFill="1" applyBorder="1"/>
    <xf numFmtId="3" fontId="0" fillId="0" borderId="6" xfId="0" quotePrefix="1" applyNumberFormat="1" applyFill="1" applyBorder="1"/>
    <xf numFmtId="3" fontId="2" fillId="0" borderId="3" xfId="0" applyNumberFormat="1" applyFon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9" xfId="0" applyNumberFormat="1" applyFill="1" applyBorder="1"/>
    <xf numFmtId="3" fontId="1" fillId="0" borderId="7" xfId="0" applyNumberFormat="1" applyFont="1" applyFill="1" applyBorder="1"/>
    <xf numFmtId="3" fontId="0" fillId="0" borderId="0" xfId="0" applyNumberFormat="1" applyFill="1"/>
    <xf numFmtId="3" fontId="0" fillId="0" borderId="5" xfId="0" applyNumberFormat="1" applyFill="1" applyBorder="1"/>
    <xf numFmtId="0" fontId="2" fillId="0" borderId="4" xfId="0" applyFont="1" applyFill="1" applyBorder="1"/>
    <xf numFmtId="3" fontId="2" fillId="0" borderId="4" xfId="0" applyNumberFormat="1" applyFont="1" applyFill="1" applyBorder="1"/>
    <xf numFmtId="164" fontId="0" fillId="0" borderId="7" xfId="0" applyNumberFormat="1" applyFill="1" applyBorder="1"/>
    <xf numFmtId="3" fontId="0" fillId="0" borderId="31" xfId="0" applyNumberFormat="1" applyFill="1" applyBorder="1"/>
    <xf numFmtId="0" fontId="0" fillId="0" borderId="1" xfId="0" applyFill="1" applyBorder="1"/>
    <xf numFmtId="9" fontId="0" fillId="0" borderId="9" xfId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ill="1" applyBorder="1"/>
    <xf numFmtId="0" fontId="2" fillId="0" borderId="0" xfId="0" applyFont="1" applyFill="1" applyBorder="1"/>
    <xf numFmtId="0" fontId="0" fillId="0" borderId="0" xfId="0" quotePrefix="1" applyFill="1" applyBorder="1"/>
    <xf numFmtId="0" fontId="0" fillId="0" borderId="0" xfId="0" applyFill="1"/>
    <xf numFmtId="164" fontId="0" fillId="0" borderId="9" xfId="0" applyNumberFormat="1" applyFill="1" applyBorder="1"/>
    <xf numFmtId="164" fontId="2" fillId="0" borderId="28" xfId="0" applyNumberFormat="1" applyFont="1" applyFill="1" applyBorder="1"/>
    <xf numFmtId="164" fontId="0" fillId="0" borderId="32" xfId="0" applyNumberFormat="1" applyFill="1" applyBorder="1"/>
    <xf numFmtId="0" fontId="0" fillId="0" borderId="5" xfId="0" applyFill="1" applyBorder="1"/>
    <xf numFmtId="1" fontId="0" fillId="0" borderId="9" xfId="0" applyNumberFormat="1" applyFill="1" applyBorder="1"/>
    <xf numFmtId="0" fontId="2" fillId="0" borderId="8" xfId="0" applyFont="1" applyFill="1" applyBorder="1"/>
    <xf numFmtId="164" fontId="7" fillId="0" borderId="9" xfId="0" applyNumberFormat="1" applyFont="1" applyFill="1" applyBorder="1"/>
    <xf numFmtId="1" fontId="0" fillId="0" borderId="7" xfId="0" applyNumberFormat="1" applyFill="1" applyBorder="1"/>
    <xf numFmtId="164" fontId="0" fillId="0" borderId="5" xfId="0" applyNumberFormat="1" applyFill="1" applyBorder="1"/>
    <xf numFmtId="0" fontId="0" fillId="0" borderId="8" xfId="0" applyFont="1" applyFill="1" applyBorder="1"/>
    <xf numFmtId="164" fontId="0" fillId="0" borderId="9" xfId="0" applyNumberFormat="1" applyFont="1" applyFill="1" applyBorder="1"/>
    <xf numFmtId="3" fontId="0" fillId="0" borderId="4" xfId="0" applyNumberFormat="1" applyFill="1" applyBorder="1"/>
    <xf numFmtId="3" fontId="1" fillId="0" borderId="3" xfId="0" applyNumberFormat="1" applyFont="1" applyFill="1" applyBorder="1"/>
    <xf numFmtId="0" fontId="9" fillId="0" borderId="6" xfId="0" quotePrefix="1" applyFont="1" applyFill="1" applyBorder="1"/>
    <xf numFmtId="3" fontId="9" fillId="0" borderId="7" xfId="0" applyNumberFormat="1" applyFont="1" applyFill="1" applyBorder="1"/>
    <xf numFmtId="0" fontId="15" fillId="0" borderId="0" xfId="2" applyFont="1" applyFill="1"/>
    <xf numFmtId="0" fontId="13" fillId="0" borderId="37" xfId="3" applyFill="1"/>
    <xf numFmtId="164" fontId="0" fillId="0" borderId="0" xfId="0" applyNumberForma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3" fontId="0" fillId="0" borderId="5" xfId="0" applyNumberFormat="1" applyFill="1" applyBorder="1" applyAlignment="1">
      <alignment horizontal="center"/>
    </xf>
    <xf numFmtId="165" fontId="0" fillId="0" borderId="7" xfId="0" applyNumberFormat="1" applyFill="1" applyBorder="1"/>
    <xf numFmtId="164" fontId="2" fillId="0" borderId="9" xfId="0" applyNumberFormat="1" applyFont="1" applyFill="1" applyBorder="1"/>
    <xf numFmtId="3" fontId="2" fillId="0" borderId="2" xfId="0" applyNumberFormat="1" applyFont="1" applyFill="1" applyBorder="1"/>
    <xf numFmtId="3" fontId="1" fillId="0" borderId="0" xfId="0" applyNumberFormat="1" applyFont="1" applyFill="1" applyBorder="1"/>
    <xf numFmtId="0" fontId="0" fillId="0" borderId="8" xfId="0" quotePrefix="1" applyFill="1" applyBorder="1"/>
    <xf numFmtId="164" fontId="1" fillId="0" borderId="0" xfId="0" applyNumberFormat="1" applyFont="1" applyFill="1"/>
    <xf numFmtId="0" fontId="1" fillId="0" borderId="0" xfId="0" applyFont="1" applyFill="1"/>
    <xf numFmtId="3" fontId="2" fillId="0" borderId="2" xfId="0" quotePrefix="1" applyNumberFormat="1" applyFont="1" applyFill="1" applyBorder="1"/>
    <xf numFmtId="3" fontId="0" fillId="0" borderId="10" xfId="0" applyNumberFormat="1" applyFont="1" applyFill="1" applyBorder="1" applyAlignment="1">
      <alignment horizontal="center"/>
    </xf>
    <xf numFmtId="3" fontId="0" fillId="0" borderId="5" xfId="0" applyNumberFormat="1" applyFont="1" applyFill="1" applyBorder="1"/>
    <xf numFmtId="3" fontId="0" fillId="0" borderId="0" xfId="0" applyNumberFormat="1" applyFont="1" applyFill="1" applyBorder="1"/>
    <xf numFmtId="164" fontId="2" fillId="0" borderId="7" xfId="0" applyNumberFormat="1" applyFont="1" applyFill="1" applyBorder="1"/>
    <xf numFmtId="164" fontId="0" fillId="0" borderId="3" xfId="0" applyNumberFormat="1" applyFill="1" applyBorder="1"/>
    <xf numFmtId="3" fontId="2" fillId="0" borderId="11" xfId="0" applyNumberFormat="1" applyFont="1" applyFill="1" applyBorder="1"/>
    <xf numFmtId="3" fontId="1" fillId="0" borderId="0" xfId="0" applyNumberFormat="1" applyFont="1" applyFill="1"/>
    <xf numFmtId="164" fontId="0" fillId="0" borderId="1" xfId="0" applyNumberFormat="1" applyFill="1" applyBorder="1"/>
    <xf numFmtId="0" fontId="2" fillId="0" borderId="38" xfId="0" applyFont="1" applyFill="1" applyBorder="1"/>
    <xf numFmtId="0" fontId="0" fillId="0" borderId="25" xfId="0" applyFill="1" applyBorder="1"/>
    <xf numFmtId="0" fontId="5" fillId="0" borderId="2" xfId="0" applyFont="1" applyFill="1" applyBorder="1"/>
    <xf numFmtId="3" fontId="2" fillId="0" borderId="0" xfId="0" applyNumberFormat="1" applyFont="1" applyFill="1"/>
    <xf numFmtId="164" fontId="0" fillId="0" borderId="40" xfId="0" applyNumberFormat="1" applyFill="1" applyBorder="1"/>
    <xf numFmtId="1" fontId="0" fillId="0" borderId="26" xfId="0" applyNumberFormat="1" applyFill="1" applyBorder="1"/>
    <xf numFmtId="0" fontId="2" fillId="0" borderId="12" xfId="0" applyFont="1" applyFill="1" applyBorder="1"/>
    <xf numFmtId="164" fontId="2" fillId="0" borderId="13" xfId="0" applyNumberFormat="1" applyFont="1" applyFill="1" applyBorder="1"/>
    <xf numFmtId="3" fontId="6" fillId="0" borderId="4" xfId="0" applyNumberFormat="1" applyFont="1" applyFill="1" applyBorder="1"/>
    <xf numFmtId="3" fontId="0" fillId="0" borderId="5" xfId="0" applyNumberFormat="1" applyFont="1" applyFill="1" applyBorder="1" applyAlignment="1">
      <alignment horizontal="center"/>
    </xf>
    <xf numFmtId="3" fontId="0" fillId="0" borderId="33" xfId="0" applyNumberFormat="1" applyFont="1" applyFill="1" applyBorder="1" applyAlignment="1">
      <alignment horizontal="center"/>
    </xf>
    <xf numFmtId="0" fontId="0" fillId="0" borderId="39" xfId="0" applyFill="1" applyBorder="1"/>
    <xf numFmtId="3" fontId="6" fillId="0" borderId="6" xfId="0" applyNumberFormat="1" applyFont="1" applyFill="1" applyBorder="1"/>
    <xf numFmtId="3" fontId="0" fillId="0" borderId="0" xfId="0" applyNumberFormat="1" applyFont="1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3" fontId="0" fillId="0" borderId="31" xfId="0" applyNumberFormat="1" applyFont="1" applyFill="1" applyBorder="1" applyAlignment="1">
      <alignment horizontal="center"/>
    </xf>
    <xf numFmtId="0" fontId="0" fillId="0" borderId="3" xfId="0" applyFont="1" applyFill="1" applyBorder="1"/>
    <xf numFmtId="3" fontId="2" fillId="0" borderId="32" xfId="0" applyNumberFormat="1" applyFont="1" applyFill="1" applyBorder="1"/>
    <xf numFmtId="3" fontId="0" fillId="0" borderId="25" xfId="0" applyNumberFormat="1" applyFont="1" applyFill="1" applyBorder="1" applyAlignment="1">
      <alignment horizontal="center"/>
    </xf>
    <xf numFmtId="3" fontId="0" fillId="0" borderId="3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26" xfId="0" applyNumberFormat="1" applyFill="1" applyBorder="1"/>
    <xf numFmtId="3" fontId="0" fillId="0" borderId="34" xfId="0" applyNumberFormat="1" applyFill="1" applyBorder="1"/>
    <xf numFmtId="165" fontId="0" fillId="0" borderId="0" xfId="0" applyNumberFormat="1" applyFill="1" applyBorder="1"/>
    <xf numFmtId="3" fontId="2" fillId="0" borderId="30" xfId="0" applyNumberFormat="1" applyFont="1" applyFill="1" applyBorder="1"/>
    <xf numFmtId="3" fontId="2" fillId="0" borderId="35" xfId="0" applyNumberFormat="1" applyFont="1" applyFill="1" applyBorder="1"/>
    <xf numFmtId="164" fontId="1" fillId="0" borderId="0" xfId="0" applyNumberFormat="1" applyFont="1" applyFill="1" applyBorder="1"/>
    <xf numFmtId="0" fontId="8" fillId="0" borderId="0" xfId="0" quotePrefix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/>
    <xf numFmtId="0" fontId="0" fillId="0" borderId="1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0" xfId="0" applyFill="1" applyBorder="1"/>
    <xf numFmtId="164" fontId="0" fillId="0" borderId="5" xfId="0" applyNumberFormat="1" applyFont="1" applyFill="1" applyBorder="1"/>
    <xf numFmtId="164" fontId="0" fillId="0" borderId="7" xfId="0" applyNumberFormat="1" applyFont="1" applyFill="1" applyBorder="1"/>
    <xf numFmtId="164" fontId="2" fillId="0" borderId="0" xfId="0" applyNumberFormat="1" applyFont="1" applyFill="1" applyBorder="1"/>
    <xf numFmtId="0" fontId="14" fillId="0" borderId="0" xfId="0" applyFont="1" applyFill="1"/>
    <xf numFmtId="0" fontId="2" fillId="0" borderId="0" xfId="0" applyFont="1" applyFill="1"/>
    <xf numFmtId="0" fontId="0" fillId="3" borderId="0" xfId="0" applyFill="1"/>
    <xf numFmtId="0" fontId="0" fillId="3" borderId="29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0" xfId="0" applyFill="1" applyBorder="1"/>
    <xf numFmtId="0" fontId="0" fillId="3" borderId="27" xfId="0" applyFill="1" applyBorder="1"/>
    <xf numFmtId="0" fontId="0" fillId="3" borderId="28" xfId="0" applyFill="1" applyBorder="1"/>
    <xf numFmtId="3" fontId="0" fillId="3" borderId="0" xfId="0" applyNumberFormat="1" applyFill="1"/>
    <xf numFmtId="0" fontId="0" fillId="0" borderId="27" xfId="0" applyFill="1" applyBorder="1"/>
    <xf numFmtId="0" fontId="0" fillId="3" borderId="40" xfId="0" applyFill="1" applyBorder="1"/>
    <xf numFmtId="3" fontId="2" fillId="3" borderId="40" xfId="0" applyNumberFormat="1" applyFont="1" applyFill="1" applyBorder="1" applyAlignment="1">
      <alignment horizontal="center"/>
    </xf>
    <xf numFmtId="3" fontId="0" fillId="3" borderId="40" xfId="0" applyNumberFormat="1" applyFill="1" applyBorder="1"/>
    <xf numFmtId="3" fontId="1" fillId="3" borderId="40" xfId="0" applyNumberFormat="1" applyFont="1" applyFill="1" applyBorder="1"/>
    <xf numFmtId="0" fontId="0" fillId="0" borderId="26" xfId="0" applyFill="1" applyBorder="1"/>
    <xf numFmtId="3" fontId="0" fillId="0" borderId="24" xfId="0" applyNumberFormat="1" applyFill="1" applyBorder="1"/>
    <xf numFmtId="0" fontId="0" fillId="0" borderId="24" xfId="0" applyFill="1" applyBorder="1"/>
    <xf numFmtId="0" fontId="16" fillId="3" borderId="29" xfId="0" applyFont="1" applyFill="1" applyBorder="1"/>
  </cellXfs>
  <cellStyles count="4">
    <cellStyle name="Heading 2" xfId="3" builtinId="17"/>
    <cellStyle name="Normal" xfId="0" builtinId="0"/>
    <cellStyle name="Percent" xfId="1" builtinId="5"/>
    <cellStyle name="Title" xfId="2" builtinId="15"/>
  </cellStyles>
  <dxfs count="0"/>
  <tableStyles count="0" defaultTableStyle="TableStyleMedium9" defaultPivotStyle="PivotStyleMedium7"/>
  <colors>
    <mruColors>
      <color rgb="FF815633"/>
      <color rgb="FF9737A7"/>
      <color rgb="FF762C2C"/>
      <color rgb="FFFF9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1188587</xdr:colOff>
      <xdr:row>52</xdr:row>
      <xdr:rowOff>128054</xdr:rowOff>
    </xdr:from>
    <xdr:to>
      <xdr:col>5</xdr:col>
      <xdr:colOff>223847</xdr:colOff>
      <xdr:row>52</xdr:row>
      <xdr:rowOff>128054</xdr:rowOff>
    </xdr:to>
    <xdr:cxnSp macro="">
      <xdr:nvCxnSpPr>
        <xdr:cNvPr id="30" name="Straight Connector 69">
          <a:extLst>
            <a:ext uri="{FF2B5EF4-FFF2-40B4-BE49-F238E27FC236}">
              <a16:creationId xmlns:a16="http://schemas.microsoft.com/office/drawing/2014/main" id="{B1A17CEF-FA3A-4023-9A39-D56F34EA98EC}"/>
            </a:ext>
          </a:extLst>
        </xdr:cNvPr>
        <xdr:cNvCxnSpPr/>
      </xdr:nvCxnSpPr>
      <xdr:spPr>
        <a:xfrm>
          <a:off x="5469099" y="10651458"/>
          <a:ext cx="228754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1509806</xdr:colOff>
      <xdr:row>13</xdr:row>
      <xdr:rowOff>86659</xdr:rowOff>
    </xdr:from>
    <xdr:to>
      <xdr:col>3</xdr:col>
      <xdr:colOff>1537771</xdr:colOff>
      <xdr:row>47</xdr:row>
      <xdr:rowOff>114759</xdr:rowOff>
    </xdr:to>
    <xdr:cxnSp macro="">
      <xdr:nvCxnSpPr>
        <xdr:cNvPr id="39" name="Straight Connector 72">
          <a:extLst>
            <a:ext uri="{FF2B5EF4-FFF2-40B4-BE49-F238E27FC236}">
              <a16:creationId xmlns:a16="http://schemas.microsoft.com/office/drawing/2014/main" id="{0FBDAFF3-CF12-45F3-B81D-2A5C46839E19}"/>
            </a:ext>
          </a:extLst>
        </xdr:cNvPr>
        <xdr:cNvCxnSpPr/>
      </xdr:nvCxnSpPr>
      <xdr:spPr>
        <a:xfrm>
          <a:off x="4068933" y="2978587"/>
          <a:ext cx="27965" cy="6684124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1490383</xdr:colOff>
      <xdr:row>13</xdr:row>
      <xdr:rowOff>100853</xdr:rowOff>
    </xdr:from>
    <xdr:to>
      <xdr:col>4</xdr:col>
      <xdr:colOff>1176618</xdr:colOff>
      <xdr:row>13</xdr:row>
      <xdr:rowOff>100853</xdr:rowOff>
    </xdr:to>
    <xdr:cxnSp macro="">
      <xdr:nvCxnSpPr>
        <xdr:cNvPr id="441" name="Straight Arrow Connector 80">
          <a:extLst>
            <a:ext uri="{FF2B5EF4-FFF2-40B4-BE49-F238E27FC236}">
              <a16:creationId xmlns:a16="http://schemas.microsoft.com/office/drawing/2014/main" id="{68D1FAB9-E2D7-4321-BF1F-166DD64FF49C}"/>
            </a:ext>
          </a:extLst>
        </xdr:cNvPr>
        <xdr:cNvCxnSpPr/>
      </xdr:nvCxnSpPr>
      <xdr:spPr>
        <a:xfrm>
          <a:off x="4045324" y="2409265"/>
          <a:ext cx="1411941" cy="0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18631</xdr:colOff>
      <xdr:row>23</xdr:row>
      <xdr:rowOff>99803</xdr:rowOff>
    </xdr:from>
    <xdr:to>
      <xdr:col>13</xdr:col>
      <xdr:colOff>670035</xdr:colOff>
      <xdr:row>23</xdr:row>
      <xdr:rowOff>99803</xdr:rowOff>
    </xdr:to>
    <xdr:cxnSp macro="">
      <xdr:nvCxnSpPr>
        <xdr:cNvPr id="165" name="Lige pilforbindelse 8">
          <a:extLst>
            <a:ext uri="{FF2B5EF4-FFF2-40B4-BE49-F238E27FC236}">
              <a16:creationId xmlns:a16="http://schemas.microsoft.com/office/drawing/2014/main" id="{45711736-3748-5745-8CFF-0A72918CDEA8}"/>
            </a:ext>
            <a:ext uri="{147F2762-F138-4A5C-976F-8EAC2B608ADB}">
              <a16:predDERef xmlns:a16="http://schemas.microsoft.com/office/drawing/2014/main" pred="{5FC45768-21BA-4DC3-9C78-A78C0EAD3EFB}"/>
            </a:ext>
          </a:extLst>
        </xdr:cNvPr>
        <xdr:cNvCxnSpPr/>
      </xdr:nvCxnSpPr>
      <xdr:spPr>
        <a:xfrm>
          <a:off x="13110579" y="4336786"/>
          <a:ext cx="651404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98535</xdr:rowOff>
    </xdr:from>
    <xdr:to>
      <xdr:col>14</xdr:col>
      <xdr:colOff>0</xdr:colOff>
      <xdr:row>9</xdr:row>
      <xdr:rowOff>98535</xdr:rowOff>
    </xdr:to>
    <xdr:cxnSp macro="">
      <xdr:nvCxnSpPr>
        <xdr:cNvPr id="299" name="Lige pilforbindelse 1">
          <a:extLst>
            <a:ext uri="{FF2B5EF4-FFF2-40B4-BE49-F238E27FC236}">
              <a16:creationId xmlns:a16="http://schemas.microsoft.com/office/drawing/2014/main" id="{187FA577-E6CC-417C-8043-929944D63E97}"/>
            </a:ext>
          </a:extLst>
        </xdr:cNvPr>
        <xdr:cNvCxnSpPr/>
      </xdr:nvCxnSpPr>
      <xdr:spPr>
        <a:xfrm>
          <a:off x="13091948" y="1576552"/>
          <a:ext cx="676604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201705</xdr:colOff>
      <xdr:row>7</xdr:row>
      <xdr:rowOff>100791</xdr:rowOff>
    </xdr:from>
    <xdr:to>
      <xdr:col>9</xdr:col>
      <xdr:colOff>810638</xdr:colOff>
      <xdr:row>7</xdr:row>
      <xdr:rowOff>100853</xdr:rowOff>
    </xdr:to>
    <xdr:cxnSp macro="">
      <xdr:nvCxnSpPr>
        <xdr:cNvPr id="303" name="Lige pilforbindelse 2">
          <a:extLst>
            <a:ext uri="{FF2B5EF4-FFF2-40B4-BE49-F238E27FC236}">
              <a16:creationId xmlns:a16="http://schemas.microsoft.com/office/drawing/2014/main" id="{D3A27AA0-B41E-4EE2-AE63-E435EE5DC93F}"/>
            </a:ext>
            <a:ext uri="{147F2762-F138-4A5C-976F-8EAC2B608ADB}">
              <a16:predDERef xmlns:a16="http://schemas.microsoft.com/office/drawing/2014/main" pred="{187FA577-E6CC-417C-8043-929944D63E97}"/>
            </a:ext>
          </a:extLst>
        </xdr:cNvPr>
        <xdr:cNvCxnSpPr/>
      </xdr:nvCxnSpPr>
      <xdr:spPr>
        <a:xfrm flipV="1">
          <a:off x="9670676" y="1198967"/>
          <a:ext cx="608933" cy="6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6</xdr:row>
      <xdr:rowOff>112058</xdr:rowOff>
    </xdr:from>
    <xdr:to>
      <xdr:col>9</xdr:col>
      <xdr:colOff>190500</xdr:colOff>
      <xdr:row>33</xdr:row>
      <xdr:rowOff>111675</xdr:rowOff>
    </xdr:to>
    <xdr:cxnSp macro="">
      <xdr:nvCxnSpPr>
        <xdr:cNvPr id="309" name="Lige forbindelse 3">
          <a:extLst>
            <a:ext uri="{FF2B5EF4-FFF2-40B4-BE49-F238E27FC236}">
              <a16:creationId xmlns:a16="http://schemas.microsoft.com/office/drawing/2014/main" id="{E0F1BA73-2639-41B5-A4AE-1713FA203473}"/>
            </a:ext>
            <a:ext uri="{147F2762-F138-4A5C-976F-8EAC2B608ADB}">
              <a16:predDERef xmlns:a16="http://schemas.microsoft.com/office/drawing/2014/main" pred="{D3A27AA0-B41E-4EE2-AE63-E435EE5DC93F}"/>
            </a:ext>
          </a:extLst>
        </xdr:cNvPr>
        <xdr:cNvCxnSpPr/>
      </xdr:nvCxnSpPr>
      <xdr:spPr>
        <a:xfrm flipV="1">
          <a:off x="9659471" y="1008529"/>
          <a:ext cx="0" cy="5243970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10824</xdr:colOff>
      <xdr:row>33</xdr:row>
      <xdr:rowOff>114300</xdr:rowOff>
    </xdr:from>
    <xdr:to>
      <xdr:col>9</xdr:col>
      <xdr:colOff>201324</xdr:colOff>
      <xdr:row>33</xdr:row>
      <xdr:rowOff>114301</xdr:rowOff>
    </xdr:to>
    <xdr:cxnSp macro="">
      <xdr:nvCxnSpPr>
        <xdr:cNvPr id="313" name="Lige forbindelse 5">
          <a:extLst>
            <a:ext uri="{FF2B5EF4-FFF2-40B4-BE49-F238E27FC236}">
              <a16:creationId xmlns:a16="http://schemas.microsoft.com/office/drawing/2014/main" id="{7D351BFE-0364-48B7-B154-2E0209CC0715}"/>
            </a:ext>
            <a:ext uri="{147F2762-F138-4A5C-976F-8EAC2B608ADB}">
              <a16:predDERef xmlns:a16="http://schemas.microsoft.com/office/drawing/2014/main" pred="{93255786-1978-48EC-AF39-AD25B00526DC}"/>
            </a:ext>
          </a:extLst>
        </xdr:cNvPr>
        <xdr:cNvCxnSpPr/>
      </xdr:nvCxnSpPr>
      <xdr:spPr>
        <a:xfrm flipV="1">
          <a:off x="7565881" y="6056601"/>
          <a:ext cx="2095500" cy="1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12700</xdr:colOff>
      <xdr:row>15</xdr:row>
      <xdr:rowOff>114300</xdr:rowOff>
    </xdr:from>
    <xdr:to>
      <xdr:col>9</xdr:col>
      <xdr:colOff>202659</xdr:colOff>
      <xdr:row>15</xdr:row>
      <xdr:rowOff>121595</xdr:rowOff>
    </xdr:to>
    <xdr:cxnSp macro="">
      <xdr:nvCxnSpPr>
        <xdr:cNvPr id="314" name="Lige forbindelse 6">
          <a:extLst>
            <a:ext uri="{FF2B5EF4-FFF2-40B4-BE49-F238E27FC236}">
              <a16:creationId xmlns:a16="http://schemas.microsoft.com/office/drawing/2014/main" id="{FB280868-4C5E-402C-A6D6-FFC1CDB707DE}"/>
            </a:ext>
            <a:ext uri="{147F2762-F138-4A5C-976F-8EAC2B608ADB}">
              <a16:predDERef xmlns:a16="http://schemas.microsoft.com/office/drawing/2014/main" pred="{7D351BFE-0364-48B7-B154-2E0209CC0715}"/>
            </a:ext>
          </a:extLst>
        </xdr:cNvPr>
        <xdr:cNvCxnSpPr/>
      </xdr:nvCxnSpPr>
      <xdr:spPr>
        <a:xfrm>
          <a:off x="7889875" y="2809875"/>
          <a:ext cx="2390234" cy="7295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9</xdr:row>
      <xdr:rowOff>91967</xdr:rowOff>
    </xdr:from>
    <xdr:to>
      <xdr:col>13</xdr:col>
      <xdr:colOff>13138</xdr:colOff>
      <xdr:row>46</xdr:row>
      <xdr:rowOff>98534</xdr:rowOff>
    </xdr:to>
    <xdr:cxnSp macro="">
      <xdr:nvCxnSpPr>
        <xdr:cNvPr id="301" name="Lige forbindelse 7">
          <a:extLst>
            <a:ext uri="{FF2B5EF4-FFF2-40B4-BE49-F238E27FC236}">
              <a16:creationId xmlns:a16="http://schemas.microsoft.com/office/drawing/2014/main" id="{5FC45768-21BA-4DC3-9C78-A78C0EAD3EFB}"/>
            </a:ext>
            <a:ext uri="{147F2762-F138-4A5C-976F-8EAC2B608ADB}">
              <a16:predDERef xmlns:a16="http://schemas.microsoft.com/office/drawing/2014/main" pred="{FB280868-4C5E-402C-A6D6-FFC1CDB707DE}"/>
            </a:ext>
          </a:extLst>
        </xdr:cNvPr>
        <xdr:cNvCxnSpPr>
          <a:cxnSpLocks/>
        </xdr:cNvCxnSpPr>
      </xdr:nvCxnSpPr>
      <xdr:spPr>
        <a:xfrm flipH="1" flipV="1">
          <a:off x="13098517" y="1569984"/>
          <a:ext cx="6569" cy="7153602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812800</xdr:colOff>
      <xdr:row>22</xdr:row>
      <xdr:rowOff>101600</xdr:rowOff>
    </xdr:from>
    <xdr:to>
      <xdr:col>14</xdr:col>
      <xdr:colOff>0</xdr:colOff>
      <xdr:row>22</xdr:row>
      <xdr:rowOff>101600</xdr:rowOff>
    </xdr:to>
    <xdr:cxnSp macro="">
      <xdr:nvCxnSpPr>
        <xdr:cNvPr id="304" name="Lige pilforbindelse 8">
          <a:extLst>
            <a:ext uri="{FF2B5EF4-FFF2-40B4-BE49-F238E27FC236}">
              <a16:creationId xmlns:a16="http://schemas.microsoft.com/office/drawing/2014/main" id="{1597F1D7-2676-47D5-B414-CCFCA9838B76}"/>
            </a:ext>
            <a:ext uri="{147F2762-F138-4A5C-976F-8EAC2B608ADB}">
              <a16:predDERef xmlns:a16="http://schemas.microsoft.com/office/drawing/2014/main" pred="{5FC45768-21BA-4DC3-9C78-A78C0EAD3EFB}"/>
            </a:ext>
          </a:extLst>
        </xdr:cNvPr>
        <xdr:cNvCxnSpPr/>
      </xdr:nvCxnSpPr>
      <xdr:spPr>
        <a:xfrm>
          <a:off x="13928725" y="4197350"/>
          <a:ext cx="8636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46</xdr:row>
      <xdr:rowOff>98096</xdr:rowOff>
    </xdr:from>
    <xdr:to>
      <xdr:col>14</xdr:col>
      <xdr:colOff>2846</xdr:colOff>
      <xdr:row>46</xdr:row>
      <xdr:rowOff>98096</xdr:rowOff>
    </xdr:to>
    <xdr:cxnSp macro="">
      <xdr:nvCxnSpPr>
        <xdr:cNvPr id="87" name="Lige pilforbindelse 9">
          <a:extLst>
            <a:ext uri="{FF2B5EF4-FFF2-40B4-BE49-F238E27FC236}">
              <a16:creationId xmlns:a16="http://schemas.microsoft.com/office/drawing/2014/main" id="{97F799E6-B56D-4EA5-B698-BE20C1834C8B}"/>
            </a:ext>
            <a:ext uri="{147F2762-F138-4A5C-976F-8EAC2B608ADB}">
              <a16:predDERef xmlns:a16="http://schemas.microsoft.com/office/drawing/2014/main" pred="{1597F1D7-2676-47D5-B414-CCFCA9838B76}"/>
            </a:ext>
          </a:extLst>
        </xdr:cNvPr>
        <xdr:cNvCxnSpPr/>
      </xdr:nvCxnSpPr>
      <xdr:spPr>
        <a:xfrm>
          <a:off x="13091948" y="8723148"/>
          <a:ext cx="67945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426983</xdr:colOff>
      <xdr:row>15</xdr:row>
      <xdr:rowOff>105104</xdr:rowOff>
    </xdr:from>
    <xdr:to>
      <xdr:col>10</xdr:col>
      <xdr:colOff>0</xdr:colOff>
      <xdr:row>15</xdr:row>
      <xdr:rowOff>105104</xdr:rowOff>
    </xdr:to>
    <xdr:cxnSp macro="">
      <xdr:nvCxnSpPr>
        <xdr:cNvPr id="479" name="Lige pilforbindelse 10">
          <a:extLst>
            <a:ext uri="{FF2B5EF4-FFF2-40B4-BE49-F238E27FC236}">
              <a16:creationId xmlns:a16="http://schemas.microsoft.com/office/drawing/2014/main" id="{2C2976A7-E423-4963-B767-B88735337B9E}"/>
            </a:ext>
            <a:ext uri="{147F2762-F138-4A5C-976F-8EAC2B608ADB}">
              <a16:predDERef xmlns:a16="http://schemas.microsoft.com/office/drawing/2014/main" pred="{97F799E6-B56D-4EA5-B698-BE20C1834C8B}"/>
            </a:ext>
          </a:extLst>
        </xdr:cNvPr>
        <xdr:cNvCxnSpPr/>
      </xdr:nvCxnSpPr>
      <xdr:spPr>
        <a:xfrm>
          <a:off x="9899431" y="2765535"/>
          <a:ext cx="459828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400707</xdr:colOff>
      <xdr:row>15</xdr:row>
      <xdr:rowOff>98534</xdr:rowOff>
    </xdr:from>
    <xdr:to>
      <xdr:col>14</xdr:col>
      <xdr:colOff>0</xdr:colOff>
      <xdr:row>15</xdr:row>
      <xdr:rowOff>98534</xdr:rowOff>
    </xdr:to>
    <xdr:cxnSp macro="">
      <xdr:nvCxnSpPr>
        <xdr:cNvPr id="455" name="Lige pilforbindelse 11">
          <a:extLst>
            <a:ext uri="{FF2B5EF4-FFF2-40B4-BE49-F238E27FC236}">
              <a16:creationId xmlns:a16="http://schemas.microsoft.com/office/drawing/2014/main" id="{739DBAED-EF4E-4449-906E-04D847FAF72F}"/>
            </a:ext>
            <a:ext uri="{147F2762-F138-4A5C-976F-8EAC2B608ADB}">
              <a16:predDERef xmlns:a16="http://schemas.microsoft.com/office/drawing/2014/main" pred="{2C2976A7-E423-4963-B767-B88735337B9E}"/>
            </a:ext>
          </a:extLst>
        </xdr:cNvPr>
        <xdr:cNvCxnSpPr/>
      </xdr:nvCxnSpPr>
      <xdr:spPr>
        <a:xfrm>
          <a:off x="13489178" y="2810358"/>
          <a:ext cx="271646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418522</xdr:colOff>
      <xdr:row>14</xdr:row>
      <xdr:rowOff>118241</xdr:rowOff>
    </xdr:from>
    <xdr:to>
      <xdr:col>9</xdr:col>
      <xdr:colOff>418832</xdr:colOff>
      <xdr:row>32</xdr:row>
      <xdr:rowOff>129886</xdr:rowOff>
    </xdr:to>
    <xdr:cxnSp macro="">
      <xdr:nvCxnSpPr>
        <xdr:cNvPr id="575" name="Lige forbindelse 12">
          <a:extLst>
            <a:ext uri="{FF2B5EF4-FFF2-40B4-BE49-F238E27FC236}">
              <a16:creationId xmlns:a16="http://schemas.microsoft.com/office/drawing/2014/main" id="{1FD9D1F7-E8FB-4DED-8144-9EB8F1D66D02}"/>
            </a:ext>
            <a:ext uri="{147F2762-F138-4A5C-976F-8EAC2B608ADB}">
              <a16:predDERef xmlns:a16="http://schemas.microsoft.com/office/drawing/2014/main" pred="{739DBAED-EF4E-4449-906E-04D847FAF72F}"/>
            </a:ext>
          </a:extLst>
        </xdr:cNvPr>
        <xdr:cNvCxnSpPr/>
      </xdr:nvCxnSpPr>
      <xdr:spPr>
        <a:xfrm flipH="1">
          <a:off x="10362045" y="3307673"/>
          <a:ext cx="310" cy="3648463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11206</xdr:colOff>
      <xdr:row>22</xdr:row>
      <xdr:rowOff>108085</xdr:rowOff>
    </xdr:from>
    <xdr:to>
      <xdr:col>9</xdr:col>
      <xdr:colOff>405319</xdr:colOff>
      <xdr:row>22</xdr:row>
      <xdr:rowOff>112059</xdr:rowOff>
    </xdr:to>
    <xdr:cxnSp macro="">
      <xdr:nvCxnSpPr>
        <xdr:cNvPr id="522" name="Lige forbindelse 13">
          <a:extLst>
            <a:ext uri="{FF2B5EF4-FFF2-40B4-BE49-F238E27FC236}">
              <a16:creationId xmlns:a16="http://schemas.microsoft.com/office/drawing/2014/main" id="{A8849262-21D4-4814-8D35-A0FEFC94B52F}"/>
            </a:ext>
            <a:ext uri="{147F2762-F138-4A5C-976F-8EAC2B608ADB}">
              <a16:predDERef xmlns:a16="http://schemas.microsoft.com/office/drawing/2014/main" pred="{1FD9D1F7-E8FB-4DED-8144-9EB8F1D66D02}"/>
            </a:ext>
          </a:extLst>
        </xdr:cNvPr>
        <xdr:cNvCxnSpPr/>
      </xdr:nvCxnSpPr>
      <xdr:spPr>
        <a:xfrm flipV="1">
          <a:off x="8012206" y="4870585"/>
          <a:ext cx="2299113" cy="3974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32</xdr:row>
      <xdr:rowOff>114300</xdr:rowOff>
    </xdr:from>
    <xdr:to>
      <xdr:col>9</xdr:col>
      <xdr:colOff>426983</xdr:colOff>
      <xdr:row>32</xdr:row>
      <xdr:rowOff>114301</xdr:rowOff>
    </xdr:to>
    <xdr:cxnSp macro="">
      <xdr:nvCxnSpPr>
        <xdr:cNvPr id="354" name="Lige forbindelse 15">
          <a:extLst>
            <a:ext uri="{FF2B5EF4-FFF2-40B4-BE49-F238E27FC236}">
              <a16:creationId xmlns:a16="http://schemas.microsoft.com/office/drawing/2014/main" id="{86281CF2-A156-4F03-A467-572257F5C5D6}"/>
            </a:ext>
            <a:ext uri="{147F2762-F138-4A5C-976F-8EAC2B608ADB}">
              <a16:predDERef xmlns:a16="http://schemas.microsoft.com/office/drawing/2014/main" pred="{30FF521F-1B16-46FD-B9C0-EAF70CDE3385}"/>
            </a:ext>
          </a:extLst>
        </xdr:cNvPr>
        <xdr:cNvCxnSpPr/>
      </xdr:nvCxnSpPr>
      <xdr:spPr>
        <a:xfrm flipV="1">
          <a:off x="7567448" y="5927834"/>
          <a:ext cx="2331983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23</xdr:row>
      <xdr:rowOff>88900</xdr:rowOff>
    </xdr:from>
    <xdr:to>
      <xdr:col>2</xdr:col>
      <xdr:colOff>469900</xdr:colOff>
      <xdr:row>23</xdr:row>
      <xdr:rowOff>88900</xdr:rowOff>
    </xdr:to>
    <xdr:cxnSp macro="">
      <xdr:nvCxnSpPr>
        <xdr:cNvPr id="424" name="Lige forbindelse 16">
          <a:extLst>
            <a:ext uri="{FF2B5EF4-FFF2-40B4-BE49-F238E27FC236}">
              <a16:creationId xmlns:a16="http://schemas.microsoft.com/office/drawing/2014/main" id="{2FDF81DB-E85A-4FA8-858E-9EC0750CBA79}"/>
            </a:ext>
            <a:ext uri="{147F2762-F138-4A5C-976F-8EAC2B608ADB}">
              <a16:predDERef xmlns:a16="http://schemas.microsoft.com/office/drawing/2014/main" pred="{86281CF2-A156-4F03-A467-572257F5C5D6}"/>
            </a:ext>
          </a:extLst>
        </xdr:cNvPr>
        <xdr:cNvCxnSpPr/>
      </xdr:nvCxnSpPr>
      <xdr:spPr>
        <a:xfrm>
          <a:off x="1893794" y="4414371"/>
          <a:ext cx="458694" cy="0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481853</xdr:colOff>
      <xdr:row>23</xdr:row>
      <xdr:rowOff>88900</xdr:rowOff>
    </xdr:from>
    <xdr:to>
      <xdr:col>2</xdr:col>
      <xdr:colOff>482600</xdr:colOff>
      <xdr:row>32</xdr:row>
      <xdr:rowOff>100853</xdr:rowOff>
    </xdr:to>
    <xdr:cxnSp macro="">
      <xdr:nvCxnSpPr>
        <xdr:cNvPr id="683" name="Lige forbindelse 17">
          <a:extLst>
            <a:ext uri="{FF2B5EF4-FFF2-40B4-BE49-F238E27FC236}">
              <a16:creationId xmlns:a16="http://schemas.microsoft.com/office/drawing/2014/main" id="{E6529E8A-DAC9-43AD-873D-C7F5E8D785C6}"/>
            </a:ext>
            <a:ext uri="{147F2762-F138-4A5C-976F-8EAC2B608ADB}">
              <a16:predDERef xmlns:a16="http://schemas.microsoft.com/office/drawing/2014/main" pred="{2FDF81DB-E85A-4FA8-858E-9EC0750CBA79}"/>
            </a:ext>
          </a:extLst>
        </xdr:cNvPr>
        <xdr:cNvCxnSpPr/>
      </xdr:nvCxnSpPr>
      <xdr:spPr>
        <a:xfrm flipH="1">
          <a:off x="2364441" y="5053106"/>
          <a:ext cx="747" cy="1827306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11476</xdr:colOff>
      <xdr:row>34</xdr:row>
      <xdr:rowOff>103283</xdr:rowOff>
    </xdr:from>
    <xdr:to>
      <xdr:col>4</xdr:col>
      <xdr:colOff>1165412</xdr:colOff>
      <xdr:row>34</xdr:row>
      <xdr:rowOff>112059</xdr:rowOff>
    </xdr:to>
    <xdr:cxnSp macro="">
      <xdr:nvCxnSpPr>
        <xdr:cNvPr id="655" name="Lige pilforbindelse 18">
          <a:extLst>
            <a:ext uri="{FF2B5EF4-FFF2-40B4-BE49-F238E27FC236}">
              <a16:creationId xmlns:a16="http://schemas.microsoft.com/office/drawing/2014/main" id="{9D179F60-5EF3-4B52-BFAC-D390CA1E1865}"/>
            </a:ext>
            <a:ext uri="{147F2762-F138-4A5C-976F-8EAC2B608ADB}">
              <a16:predDERef xmlns:a16="http://schemas.microsoft.com/office/drawing/2014/main" pred="{E6529E8A-DAC9-43AD-873D-C7F5E8D785C6}"/>
            </a:ext>
          </a:extLst>
        </xdr:cNvPr>
        <xdr:cNvCxnSpPr/>
      </xdr:nvCxnSpPr>
      <xdr:spPr>
        <a:xfrm>
          <a:off x="1893524" y="7103584"/>
          <a:ext cx="3552400" cy="877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127000</xdr:rowOff>
    </xdr:from>
    <xdr:to>
      <xdr:col>2</xdr:col>
      <xdr:colOff>315310</xdr:colOff>
      <xdr:row>24</xdr:row>
      <xdr:rowOff>127000</xdr:rowOff>
    </xdr:to>
    <xdr:cxnSp macro="">
      <xdr:nvCxnSpPr>
        <xdr:cNvPr id="423" name="Lige forbindelse 19">
          <a:extLst>
            <a:ext uri="{FF2B5EF4-FFF2-40B4-BE49-F238E27FC236}">
              <a16:creationId xmlns:a16="http://schemas.microsoft.com/office/drawing/2014/main" id="{B660D390-B348-41D6-BB58-5FA5907EB8D2}"/>
            </a:ext>
            <a:ext uri="{147F2762-F138-4A5C-976F-8EAC2B608ADB}">
              <a16:predDERef xmlns:a16="http://schemas.microsoft.com/office/drawing/2014/main" pred="{9D179F60-5EF3-4B52-BFAC-D390CA1E1865}"/>
            </a:ext>
          </a:extLst>
        </xdr:cNvPr>
        <xdr:cNvCxnSpPr/>
      </xdr:nvCxnSpPr>
      <xdr:spPr>
        <a:xfrm>
          <a:off x="1885293" y="4561052"/>
          <a:ext cx="315310" cy="0"/>
        </a:xfrm>
        <a:prstGeom prst="line">
          <a:avLst/>
        </a:prstGeom>
        <a:ln>
          <a:solidFill>
            <a:srgbClr val="815633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309850</xdr:colOff>
      <xdr:row>24</xdr:row>
      <xdr:rowOff>127000</xdr:rowOff>
    </xdr:from>
    <xdr:to>
      <xdr:col>2</xdr:col>
      <xdr:colOff>317500</xdr:colOff>
      <xdr:row>46</xdr:row>
      <xdr:rowOff>103284</xdr:rowOff>
    </xdr:to>
    <xdr:cxnSp macro="">
      <xdr:nvCxnSpPr>
        <xdr:cNvPr id="6" name="Lige forbindelse 20">
          <a:extLst>
            <a:ext uri="{FF2B5EF4-FFF2-40B4-BE49-F238E27FC236}">
              <a16:creationId xmlns:a16="http://schemas.microsoft.com/office/drawing/2014/main" id="{0AB4730E-2AD1-4206-86B4-E3697A4F3FC6}"/>
            </a:ext>
            <a:ext uri="{147F2762-F138-4A5C-976F-8EAC2B608ADB}">
              <a16:predDERef xmlns:a16="http://schemas.microsoft.com/office/drawing/2014/main" pred="{B660D390-B348-41D6-BB58-5FA5907EB8D2}"/>
            </a:ext>
          </a:extLst>
        </xdr:cNvPr>
        <xdr:cNvCxnSpPr/>
      </xdr:nvCxnSpPr>
      <xdr:spPr>
        <a:xfrm flipH="1">
          <a:off x="2191898" y="5164922"/>
          <a:ext cx="7650" cy="4291223"/>
        </a:xfrm>
        <a:prstGeom prst="line">
          <a:avLst/>
        </a:prstGeom>
        <a:ln>
          <a:solidFill>
            <a:srgbClr val="815633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298374</xdr:colOff>
      <xdr:row>46</xdr:row>
      <xdr:rowOff>90125</xdr:rowOff>
    </xdr:from>
    <xdr:to>
      <xdr:col>3</xdr:col>
      <xdr:colOff>1686957</xdr:colOff>
      <xdr:row>46</xdr:row>
      <xdr:rowOff>91808</xdr:rowOff>
    </xdr:to>
    <xdr:cxnSp macro="">
      <xdr:nvCxnSpPr>
        <xdr:cNvPr id="4" name="Lige pilforbindelse 21">
          <a:extLst>
            <a:ext uri="{FF2B5EF4-FFF2-40B4-BE49-F238E27FC236}">
              <a16:creationId xmlns:a16="http://schemas.microsoft.com/office/drawing/2014/main" id="{02516823-18FF-4D61-9FCA-6055461415FE}"/>
            </a:ext>
            <a:ext uri="{147F2762-F138-4A5C-976F-8EAC2B608ADB}">
              <a16:predDERef xmlns:a16="http://schemas.microsoft.com/office/drawing/2014/main" pred="{0AB4730E-2AD1-4206-86B4-E3697A4F3FC6}"/>
            </a:ext>
          </a:extLst>
        </xdr:cNvPr>
        <xdr:cNvCxnSpPr/>
      </xdr:nvCxnSpPr>
      <xdr:spPr>
        <a:xfrm flipV="1">
          <a:off x="2180422" y="9442986"/>
          <a:ext cx="2065662" cy="1683"/>
        </a:xfrm>
        <a:prstGeom prst="straightConnector1">
          <a:avLst/>
        </a:prstGeom>
        <a:ln>
          <a:solidFill>
            <a:srgbClr val="815633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27</xdr:row>
      <xdr:rowOff>114300</xdr:rowOff>
    </xdr:from>
    <xdr:to>
      <xdr:col>4</xdr:col>
      <xdr:colOff>457200</xdr:colOff>
      <xdr:row>38</xdr:row>
      <xdr:rowOff>177800</xdr:rowOff>
    </xdr:to>
    <xdr:cxnSp macro="">
      <xdr:nvCxnSpPr>
        <xdr:cNvPr id="722" name="Vinklet forbindelse 22">
          <a:extLst>
            <a:ext uri="{FF2B5EF4-FFF2-40B4-BE49-F238E27FC236}">
              <a16:creationId xmlns:a16="http://schemas.microsoft.com/office/drawing/2014/main" id="{11FB0C88-741B-4A5B-A22D-DEAF628FED53}"/>
            </a:ext>
            <a:ext uri="{147F2762-F138-4A5C-976F-8EAC2B608ADB}">
              <a16:predDERef xmlns:a16="http://schemas.microsoft.com/office/drawing/2014/main" pred="{02516823-18FF-4D61-9FCA-6055461415FE}"/>
            </a:ext>
          </a:extLst>
        </xdr:cNvPr>
        <xdr:cNvCxnSpPr/>
      </xdr:nvCxnSpPr>
      <xdr:spPr>
        <a:xfrm>
          <a:off x="1905000" y="5943600"/>
          <a:ext cx="2832100" cy="2324100"/>
        </a:xfrm>
        <a:prstGeom prst="bentConnector3">
          <a:avLst>
            <a:gd name="adj1" fmla="val 100673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101600</xdr:rowOff>
    </xdr:from>
    <xdr:to>
      <xdr:col>14</xdr:col>
      <xdr:colOff>0</xdr:colOff>
      <xdr:row>35</xdr:row>
      <xdr:rowOff>101600</xdr:rowOff>
    </xdr:to>
    <xdr:cxnSp macro="">
      <xdr:nvCxnSpPr>
        <xdr:cNvPr id="448" name="Lige pilforbindelse 28">
          <a:extLst>
            <a:ext uri="{FF2B5EF4-FFF2-40B4-BE49-F238E27FC236}">
              <a16:creationId xmlns:a16="http://schemas.microsoft.com/office/drawing/2014/main" id="{12E97866-B4C1-4FBC-9E3D-4DF42163F4A9}"/>
            </a:ext>
            <a:ext uri="{147F2762-F138-4A5C-976F-8EAC2B608ADB}">
              <a16:predDERef xmlns:a16="http://schemas.microsoft.com/office/drawing/2014/main" pred="{52F7581C-073F-47C4-A972-8AEED18B566E}"/>
            </a:ext>
          </a:extLst>
        </xdr:cNvPr>
        <xdr:cNvCxnSpPr>
          <a:cxnSpLocks/>
        </xdr:cNvCxnSpPr>
      </xdr:nvCxnSpPr>
      <xdr:spPr>
        <a:xfrm>
          <a:off x="13088471" y="6657041"/>
          <a:ext cx="672353" cy="0"/>
        </a:xfrm>
        <a:prstGeom prst="straightConnector1">
          <a:avLst/>
        </a:prstGeom>
        <a:ln>
          <a:solidFill>
            <a:srgbClr val="0070B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101600</xdr:rowOff>
    </xdr:from>
    <xdr:to>
      <xdr:col>4</xdr:col>
      <xdr:colOff>495300</xdr:colOff>
      <xdr:row>14</xdr:row>
      <xdr:rowOff>101600</xdr:rowOff>
    </xdr:to>
    <xdr:cxnSp macro="">
      <xdr:nvCxnSpPr>
        <xdr:cNvPr id="357" name="Lige forbindelse 32">
          <a:extLst>
            <a:ext uri="{FF2B5EF4-FFF2-40B4-BE49-F238E27FC236}">
              <a16:creationId xmlns:a16="http://schemas.microsoft.com/office/drawing/2014/main" id="{13B37463-E5BE-4679-8399-A0DB221C27C0}"/>
            </a:ext>
            <a:ext uri="{147F2762-F138-4A5C-976F-8EAC2B608ADB}">
              <a16:predDERef xmlns:a16="http://schemas.microsoft.com/office/drawing/2014/main" pred="{75EEC302-EE0F-4DBF-9286-DE69D2378474}"/>
            </a:ext>
          </a:extLst>
        </xdr:cNvPr>
        <xdr:cNvCxnSpPr/>
      </xdr:nvCxnSpPr>
      <xdr:spPr>
        <a:xfrm>
          <a:off x="3038475" y="2597150"/>
          <a:ext cx="21717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482600</xdr:colOff>
      <xdr:row>14</xdr:row>
      <xdr:rowOff>101600</xdr:rowOff>
    </xdr:from>
    <xdr:to>
      <xdr:col>4</xdr:col>
      <xdr:colOff>495300</xdr:colOff>
      <xdr:row>20</xdr:row>
      <xdr:rowOff>101600</xdr:rowOff>
    </xdr:to>
    <xdr:cxnSp macro="">
      <xdr:nvCxnSpPr>
        <xdr:cNvPr id="356" name="Lige forbindelse 33">
          <a:extLst>
            <a:ext uri="{FF2B5EF4-FFF2-40B4-BE49-F238E27FC236}">
              <a16:creationId xmlns:a16="http://schemas.microsoft.com/office/drawing/2014/main" id="{06A919A6-2A4C-4E11-B227-14C45EE189FD}"/>
            </a:ext>
            <a:ext uri="{147F2762-F138-4A5C-976F-8EAC2B608ADB}">
              <a16:predDERef xmlns:a16="http://schemas.microsoft.com/office/drawing/2014/main" pred="{13B37463-E5BE-4679-8399-A0DB221C27C0}"/>
            </a:ext>
          </a:extLst>
        </xdr:cNvPr>
        <xdr:cNvCxnSpPr/>
      </xdr:nvCxnSpPr>
      <xdr:spPr>
        <a:xfrm>
          <a:off x="4762500" y="2641600"/>
          <a:ext cx="12700" cy="12192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20</xdr:row>
      <xdr:rowOff>89029</xdr:rowOff>
    </xdr:from>
    <xdr:to>
      <xdr:col>9</xdr:col>
      <xdr:colOff>433114</xdr:colOff>
      <xdr:row>20</xdr:row>
      <xdr:rowOff>101600</xdr:rowOff>
    </xdr:to>
    <xdr:cxnSp macro="">
      <xdr:nvCxnSpPr>
        <xdr:cNvPr id="352" name="Lige forbindelse 34">
          <a:extLst>
            <a:ext uri="{FF2B5EF4-FFF2-40B4-BE49-F238E27FC236}">
              <a16:creationId xmlns:a16="http://schemas.microsoft.com/office/drawing/2014/main" id="{C7122301-D1D8-4B08-8FB6-EFA77E888719}"/>
            </a:ext>
            <a:ext uri="{147F2762-F138-4A5C-976F-8EAC2B608ADB}">
              <a16:predDERef xmlns:a16="http://schemas.microsoft.com/office/drawing/2014/main" pred="{06A919A6-2A4C-4E11-B227-14C45EE189FD}"/>
            </a:ext>
          </a:extLst>
        </xdr:cNvPr>
        <xdr:cNvCxnSpPr/>
      </xdr:nvCxnSpPr>
      <xdr:spPr>
        <a:xfrm flipV="1">
          <a:off x="4775200" y="3848229"/>
          <a:ext cx="5132114" cy="1257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2847</xdr:colOff>
      <xdr:row>14</xdr:row>
      <xdr:rowOff>114300</xdr:rowOff>
    </xdr:from>
    <xdr:to>
      <xdr:col>9</xdr:col>
      <xdr:colOff>420414</xdr:colOff>
      <xdr:row>14</xdr:row>
      <xdr:rowOff>114300</xdr:rowOff>
    </xdr:to>
    <xdr:cxnSp macro="">
      <xdr:nvCxnSpPr>
        <xdr:cNvPr id="351" name="Lige forbindelse 35">
          <a:extLst>
            <a:ext uri="{FF2B5EF4-FFF2-40B4-BE49-F238E27FC236}">
              <a16:creationId xmlns:a16="http://schemas.microsoft.com/office/drawing/2014/main" id="{8D7025B2-EECC-4834-AF2E-B3EA5252591D}"/>
            </a:ext>
            <a:ext uri="{147F2762-F138-4A5C-976F-8EAC2B608ADB}">
              <a16:predDERef xmlns:a16="http://schemas.microsoft.com/office/drawing/2014/main" pred="{C7122301-D1D8-4B08-8FB6-EFA77E888719}"/>
            </a:ext>
          </a:extLst>
        </xdr:cNvPr>
        <xdr:cNvCxnSpPr/>
      </xdr:nvCxnSpPr>
      <xdr:spPr>
        <a:xfrm>
          <a:off x="7570295" y="2577662"/>
          <a:ext cx="2322567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11476</xdr:colOff>
      <xdr:row>25</xdr:row>
      <xdr:rowOff>91807</xdr:rowOff>
    </xdr:from>
    <xdr:to>
      <xdr:col>4</xdr:col>
      <xdr:colOff>1191351</xdr:colOff>
      <xdr:row>35</xdr:row>
      <xdr:rowOff>116749</xdr:rowOff>
    </xdr:to>
    <xdr:cxnSp macro="">
      <xdr:nvCxnSpPr>
        <xdr:cNvPr id="52" name="Vinklet forbindelse 36">
          <a:extLst>
            <a:ext uri="{FF2B5EF4-FFF2-40B4-BE49-F238E27FC236}">
              <a16:creationId xmlns:a16="http://schemas.microsoft.com/office/drawing/2014/main" id="{65044F9A-FB63-4BD5-848E-293B9F43BE3A}"/>
            </a:ext>
            <a:ext uri="{147F2762-F138-4A5C-976F-8EAC2B608ADB}">
              <a16:predDERef xmlns:a16="http://schemas.microsoft.com/office/drawing/2014/main" pred="{8D7025B2-EECC-4834-AF2E-B3EA5252591D}"/>
            </a:ext>
          </a:extLst>
        </xdr:cNvPr>
        <xdr:cNvCxnSpPr/>
      </xdr:nvCxnSpPr>
      <xdr:spPr>
        <a:xfrm>
          <a:off x="1893524" y="5324819"/>
          <a:ext cx="3578339" cy="1998797"/>
        </a:xfrm>
        <a:prstGeom prst="bentConnector3">
          <a:avLst>
            <a:gd name="adj1" fmla="val 50000"/>
          </a:avLst>
        </a:prstGeom>
        <a:ln>
          <a:solidFill>
            <a:srgbClr val="FF94FF"/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127000</xdr:rowOff>
    </xdr:from>
    <xdr:to>
      <xdr:col>5</xdr:col>
      <xdr:colOff>0</xdr:colOff>
      <xdr:row>26</xdr:row>
      <xdr:rowOff>127000</xdr:rowOff>
    </xdr:to>
    <xdr:cxnSp macro="">
      <xdr:nvCxnSpPr>
        <xdr:cNvPr id="38" name="Vinklet forbindelse 37">
          <a:extLst>
            <a:ext uri="{FF2B5EF4-FFF2-40B4-BE49-F238E27FC236}">
              <a16:creationId xmlns:a16="http://schemas.microsoft.com/office/drawing/2014/main" id="{8EF2CEDE-BC24-4512-817C-82A323ED2F1E}"/>
            </a:ext>
            <a:ext uri="{147F2762-F138-4A5C-976F-8EAC2B608ADB}">
              <a16:predDERef xmlns:a16="http://schemas.microsoft.com/office/drawing/2014/main" pred="{65044F9A-FB63-4BD5-848E-293B9F43BE3A}"/>
            </a:ext>
          </a:extLst>
        </xdr:cNvPr>
        <xdr:cNvCxnSpPr/>
      </xdr:nvCxnSpPr>
      <xdr:spPr>
        <a:xfrm flipV="1">
          <a:off x="3038475" y="3222625"/>
          <a:ext cx="2514600" cy="1800225"/>
        </a:xfrm>
        <a:prstGeom prst="bentConnector3">
          <a:avLst>
            <a:gd name="adj1" fmla="val 77692"/>
          </a:avLst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6569</xdr:colOff>
      <xdr:row>6</xdr:row>
      <xdr:rowOff>105104</xdr:rowOff>
    </xdr:from>
    <xdr:to>
      <xdr:col>9</xdr:col>
      <xdr:colOff>190500</xdr:colOff>
      <xdr:row>6</xdr:row>
      <xdr:rowOff>105104</xdr:rowOff>
    </xdr:to>
    <xdr:cxnSp macro="">
      <xdr:nvCxnSpPr>
        <xdr:cNvPr id="519" name="Lige forbindelse 42">
          <a:extLst>
            <a:ext uri="{FF2B5EF4-FFF2-40B4-BE49-F238E27FC236}">
              <a16:creationId xmlns:a16="http://schemas.microsoft.com/office/drawing/2014/main" id="{832810D9-B39E-46CB-8FC9-3FED96640B52}"/>
            </a:ext>
            <a:ext uri="{147F2762-F138-4A5C-976F-8EAC2B608ADB}">
              <a16:predDERef xmlns:a16="http://schemas.microsoft.com/office/drawing/2014/main" pred="{15823289-A489-4DEC-8F4C-654443EB771F}"/>
            </a:ext>
          </a:extLst>
        </xdr:cNvPr>
        <xdr:cNvCxnSpPr/>
      </xdr:nvCxnSpPr>
      <xdr:spPr>
        <a:xfrm>
          <a:off x="1889157" y="1640310"/>
          <a:ext cx="7770314" cy="0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179294</xdr:colOff>
      <xdr:row>7</xdr:row>
      <xdr:rowOff>91810</xdr:rowOff>
    </xdr:from>
    <xdr:to>
      <xdr:col>9</xdr:col>
      <xdr:colOff>201705</xdr:colOff>
      <xdr:row>7</xdr:row>
      <xdr:rowOff>100853</xdr:rowOff>
    </xdr:to>
    <xdr:cxnSp macro="">
      <xdr:nvCxnSpPr>
        <xdr:cNvPr id="273" name="Lige forbindelse 43">
          <a:extLst>
            <a:ext uri="{FF2B5EF4-FFF2-40B4-BE49-F238E27FC236}">
              <a16:creationId xmlns:a16="http://schemas.microsoft.com/office/drawing/2014/main" id="{AADB799B-593D-4141-81D7-57EA7BA360A4}"/>
            </a:ext>
            <a:ext uri="{147F2762-F138-4A5C-976F-8EAC2B608ADB}">
              <a16:predDERef xmlns:a16="http://schemas.microsoft.com/office/drawing/2014/main" pred="{832810D9-B39E-46CB-8FC9-3FED96640B52}"/>
            </a:ext>
          </a:extLst>
        </xdr:cNvPr>
        <xdr:cNvCxnSpPr/>
      </xdr:nvCxnSpPr>
      <xdr:spPr>
        <a:xfrm>
          <a:off x="9648265" y="1189986"/>
          <a:ext cx="22411" cy="9043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8</xdr:row>
      <xdr:rowOff>115111</xdr:rowOff>
    </xdr:from>
    <xdr:to>
      <xdr:col>9</xdr:col>
      <xdr:colOff>818029</xdr:colOff>
      <xdr:row>8</xdr:row>
      <xdr:rowOff>115111</xdr:rowOff>
    </xdr:to>
    <xdr:cxnSp macro="">
      <xdr:nvCxnSpPr>
        <xdr:cNvPr id="306" name="Lige pilforbindelse 44">
          <a:extLst>
            <a:ext uri="{FF2B5EF4-FFF2-40B4-BE49-F238E27FC236}">
              <a16:creationId xmlns:a16="http://schemas.microsoft.com/office/drawing/2014/main" id="{9A0926CA-1D69-4E7B-84DB-2305B7E97699}"/>
            </a:ext>
            <a:ext uri="{147F2762-F138-4A5C-976F-8EAC2B608ADB}">
              <a16:predDERef xmlns:a16="http://schemas.microsoft.com/office/drawing/2014/main" pred="{AADB799B-593D-4141-81D7-57EA7BA360A4}"/>
            </a:ext>
          </a:extLst>
        </xdr:cNvPr>
        <xdr:cNvCxnSpPr/>
      </xdr:nvCxnSpPr>
      <xdr:spPr>
        <a:xfrm>
          <a:off x="9659471" y="1414993"/>
          <a:ext cx="62752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25907</xdr:colOff>
      <xdr:row>45</xdr:row>
      <xdr:rowOff>106586</xdr:rowOff>
    </xdr:from>
    <xdr:to>
      <xdr:col>9</xdr:col>
      <xdr:colOff>642650</xdr:colOff>
      <xdr:row>45</xdr:row>
      <xdr:rowOff>114759</xdr:rowOff>
    </xdr:to>
    <xdr:cxnSp macro="">
      <xdr:nvCxnSpPr>
        <xdr:cNvPr id="25" name="Lige forbindelse 45">
          <a:extLst>
            <a:ext uri="{FF2B5EF4-FFF2-40B4-BE49-F238E27FC236}">
              <a16:creationId xmlns:a16="http://schemas.microsoft.com/office/drawing/2014/main" id="{07CD4D78-A63D-46E4-9B15-C6381F3A7354}"/>
            </a:ext>
            <a:ext uri="{147F2762-F138-4A5C-976F-8EAC2B608ADB}">
              <a16:predDERef xmlns:a16="http://schemas.microsoft.com/office/drawing/2014/main" pred="{9A0926CA-1D69-4E7B-84DB-2305B7E97699}"/>
            </a:ext>
          </a:extLst>
        </xdr:cNvPr>
        <xdr:cNvCxnSpPr/>
      </xdr:nvCxnSpPr>
      <xdr:spPr>
        <a:xfrm>
          <a:off x="6922925" y="9264357"/>
          <a:ext cx="3623430" cy="8173"/>
        </a:xfrm>
        <a:prstGeom prst="line">
          <a:avLst/>
        </a:prstGeom>
        <a:ln>
          <a:solidFill>
            <a:srgbClr val="815633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550843</xdr:colOff>
      <xdr:row>29</xdr:row>
      <xdr:rowOff>2</xdr:rowOff>
    </xdr:from>
    <xdr:to>
      <xdr:col>9</xdr:col>
      <xdr:colOff>575095</xdr:colOff>
      <xdr:row>42</xdr:row>
      <xdr:rowOff>80331</xdr:rowOff>
    </xdr:to>
    <xdr:cxnSp macro="">
      <xdr:nvCxnSpPr>
        <xdr:cNvPr id="19" name="Lige forbindelse 46">
          <a:extLst>
            <a:ext uri="{FF2B5EF4-FFF2-40B4-BE49-F238E27FC236}">
              <a16:creationId xmlns:a16="http://schemas.microsoft.com/office/drawing/2014/main" id="{A670159E-AC79-4DA6-9307-371BCB9085FA}"/>
            </a:ext>
            <a:ext uri="{147F2762-F138-4A5C-976F-8EAC2B608ADB}">
              <a16:predDERef xmlns:a16="http://schemas.microsoft.com/office/drawing/2014/main" pred="{07CD4D78-A63D-46E4-9B15-C6381F3A7354}"/>
            </a:ext>
          </a:extLst>
        </xdr:cNvPr>
        <xdr:cNvCxnSpPr/>
      </xdr:nvCxnSpPr>
      <xdr:spPr>
        <a:xfrm flipV="1">
          <a:off x="10454548" y="6013375"/>
          <a:ext cx="24252" cy="2639456"/>
        </a:xfrm>
        <a:prstGeom prst="line">
          <a:avLst/>
        </a:prstGeom>
        <a:ln>
          <a:solidFill>
            <a:srgbClr val="815633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575095</xdr:colOff>
      <xdr:row>29</xdr:row>
      <xdr:rowOff>0</xdr:rowOff>
    </xdr:from>
    <xdr:to>
      <xdr:col>9</xdr:col>
      <xdr:colOff>844261</xdr:colOff>
      <xdr:row>29</xdr:row>
      <xdr:rowOff>0</xdr:rowOff>
    </xdr:to>
    <xdr:cxnSp macro="">
      <xdr:nvCxnSpPr>
        <xdr:cNvPr id="369" name="Lige pilforbindelse 47">
          <a:extLst>
            <a:ext uri="{FF2B5EF4-FFF2-40B4-BE49-F238E27FC236}">
              <a16:creationId xmlns:a16="http://schemas.microsoft.com/office/drawing/2014/main" id="{67C1430B-C1FC-4D06-9DFE-57F8C666046D}"/>
            </a:ext>
            <a:ext uri="{147F2762-F138-4A5C-976F-8EAC2B608ADB}">
              <a16:predDERef xmlns:a16="http://schemas.microsoft.com/office/drawing/2014/main" pred="{A670159E-AC79-4DA6-9307-371BCB9085FA}"/>
            </a:ext>
          </a:extLst>
        </xdr:cNvPr>
        <xdr:cNvCxnSpPr/>
      </xdr:nvCxnSpPr>
      <xdr:spPr>
        <a:xfrm>
          <a:off x="10035152" y="5162983"/>
          <a:ext cx="269166" cy="0"/>
        </a:xfrm>
        <a:prstGeom prst="straightConnector1">
          <a:avLst/>
        </a:prstGeom>
        <a:ln>
          <a:solidFill>
            <a:srgbClr val="815633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21001</xdr:colOff>
      <xdr:row>42</xdr:row>
      <xdr:rowOff>68855</xdr:rowOff>
    </xdr:from>
    <xdr:to>
      <xdr:col>9</xdr:col>
      <xdr:colOff>562319</xdr:colOff>
      <xdr:row>42</xdr:row>
      <xdr:rowOff>102825</xdr:rowOff>
    </xdr:to>
    <xdr:cxnSp macro="">
      <xdr:nvCxnSpPr>
        <xdr:cNvPr id="20" name="Lige forbindelse 55">
          <a:extLst>
            <a:ext uri="{FF2B5EF4-FFF2-40B4-BE49-F238E27FC236}">
              <a16:creationId xmlns:a16="http://schemas.microsoft.com/office/drawing/2014/main" id="{C0F5BCE0-A9ED-49E3-896D-0E85B7AB1AA5}"/>
            </a:ext>
            <a:ext uri="{147F2762-F138-4A5C-976F-8EAC2B608ADB}">
              <a16:predDERef xmlns:a16="http://schemas.microsoft.com/office/drawing/2014/main" pred="{B8E9F16A-BB28-40CE-AD81-D41498C8C0FE}"/>
            </a:ext>
          </a:extLst>
        </xdr:cNvPr>
        <xdr:cNvCxnSpPr/>
      </xdr:nvCxnSpPr>
      <xdr:spPr>
        <a:xfrm flipV="1">
          <a:off x="6918019" y="8641355"/>
          <a:ext cx="3548005" cy="33970"/>
        </a:xfrm>
        <a:prstGeom prst="line">
          <a:avLst/>
        </a:prstGeom>
        <a:ln>
          <a:solidFill>
            <a:srgbClr val="815633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669925</xdr:colOff>
      <xdr:row>21</xdr:row>
      <xdr:rowOff>107950</xdr:rowOff>
    </xdr:from>
    <xdr:to>
      <xdr:col>13</xdr:col>
      <xdr:colOff>669925</xdr:colOff>
      <xdr:row>21</xdr:row>
      <xdr:rowOff>107950</xdr:rowOff>
    </xdr:to>
    <xdr:cxnSp macro="">
      <xdr:nvCxnSpPr>
        <xdr:cNvPr id="72" name="Lige pilforbindelse 8">
          <a:extLst>
            <a:ext uri="{FF2B5EF4-FFF2-40B4-BE49-F238E27FC236}">
              <a16:creationId xmlns:a16="http://schemas.microsoft.com/office/drawing/2014/main" id="{D75D9DB2-1431-6548-9ADF-004243976ABB}"/>
            </a:ext>
            <a:ext uri="{147F2762-F138-4A5C-976F-8EAC2B608ADB}">
              <a16:predDERef xmlns:a16="http://schemas.microsoft.com/office/drawing/2014/main" pred="{5FC45768-21BA-4DC3-9C78-A78C0EAD3EFB}"/>
            </a:ext>
          </a:extLst>
        </xdr:cNvPr>
        <xdr:cNvCxnSpPr/>
      </xdr:nvCxnSpPr>
      <xdr:spPr>
        <a:xfrm>
          <a:off x="11617325" y="4070350"/>
          <a:ext cx="6731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36</xdr:row>
      <xdr:rowOff>101600</xdr:rowOff>
    </xdr:from>
    <xdr:to>
      <xdr:col>14</xdr:col>
      <xdr:colOff>0</xdr:colOff>
      <xdr:row>36</xdr:row>
      <xdr:rowOff>101600</xdr:rowOff>
    </xdr:to>
    <xdr:cxnSp macro="">
      <xdr:nvCxnSpPr>
        <xdr:cNvPr id="447" name="Lige pilforbindelse 28">
          <a:extLst>
            <a:ext uri="{FF2B5EF4-FFF2-40B4-BE49-F238E27FC236}">
              <a16:creationId xmlns:a16="http://schemas.microsoft.com/office/drawing/2014/main" id="{5EEC1D87-18C0-B840-911D-9A3970C9468F}"/>
            </a:ext>
            <a:ext uri="{147F2762-F138-4A5C-976F-8EAC2B608ADB}">
              <a16:predDERef xmlns:a16="http://schemas.microsoft.com/office/drawing/2014/main" pred="{52F7581C-073F-47C4-A972-8AEED18B566E}"/>
            </a:ext>
          </a:extLst>
        </xdr:cNvPr>
        <xdr:cNvCxnSpPr>
          <a:cxnSpLocks/>
        </xdr:cNvCxnSpPr>
      </xdr:nvCxnSpPr>
      <xdr:spPr>
        <a:xfrm>
          <a:off x="13088471" y="6869953"/>
          <a:ext cx="672353" cy="0"/>
        </a:xfrm>
        <a:prstGeom prst="straightConnector1">
          <a:avLst/>
        </a:prstGeom>
        <a:ln>
          <a:solidFill>
            <a:srgbClr val="0070B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39</xdr:row>
      <xdr:rowOff>107950</xdr:rowOff>
    </xdr:from>
    <xdr:to>
      <xdr:col>14</xdr:col>
      <xdr:colOff>0</xdr:colOff>
      <xdr:row>39</xdr:row>
      <xdr:rowOff>107950</xdr:rowOff>
    </xdr:to>
    <xdr:cxnSp macro="">
      <xdr:nvCxnSpPr>
        <xdr:cNvPr id="444" name="Lige pilforbindelse 28">
          <a:extLst>
            <a:ext uri="{FF2B5EF4-FFF2-40B4-BE49-F238E27FC236}">
              <a16:creationId xmlns:a16="http://schemas.microsoft.com/office/drawing/2014/main" id="{4EA48B07-1118-824D-A449-30D3DBD26855}"/>
            </a:ext>
            <a:ext uri="{147F2762-F138-4A5C-976F-8EAC2B608ADB}">
              <a16:predDERef xmlns:a16="http://schemas.microsoft.com/office/drawing/2014/main" pred="{52F7581C-073F-47C4-A972-8AEED18B566E}"/>
            </a:ext>
          </a:extLst>
        </xdr:cNvPr>
        <xdr:cNvCxnSpPr>
          <a:cxnSpLocks/>
        </xdr:cNvCxnSpPr>
      </xdr:nvCxnSpPr>
      <xdr:spPr>
        <a:xfrm>
          <a:off x="13088471" y="7481421"/>
          <a:ext cx="672353" cy="0"/>
        </a:xfrm>
        <a:prstGeom prst="straightConnector1">
          <a:avLst/>
        </a:prstGeom>
        <a:ln>
          <a:solidFill>
            <a:srgbClr val="0070B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38</xdr:row>
      <xdr:rowOff>114300</xdr:rowOff>
    </xdr:from>
    <xdr:to>
      <xdr:col>14</xdr:col>
      <xdr:colOff>0</xdr:colOff>
      <xdr:row>38</xdr:row>
      <xdr:rowOff>114300</xdr:rowOff>
    </xdr:to>
    <xdr:cxnSp macro="">
      <xdr:nvCxnSpPr>
        <xdr:cNvPr id="620" name="Lige pilforbindelse 145">
          <a:extLst>
            <a:ext uri="{FF2B5EF4-FFF2-40B4-BE49-F238E27FC236}">
              <a16:creationId xmlns:a16="http://schemas.microsoft.com/office/drawing/2014/main" id="{3D207F6C-6803-2A42-A661-D7E0DC4EDF36}"/>
            </a:ext>
            <a:ext uri="{147F2762-F138-4A5C-976F-8EAC2B608ADB}">
              <a16:predDERef xmlns:a16="http://schemas.microsoft.com/office/drawing/2014/main" pred="{0AB4730E-2AD1-4206-86B4-E3697A4F3FC6}"/>
            </a:ext>
          </a:extLst>
        </xdr:cNvPr>
        <xdr:cNvCxnSpPr/>
      </xdr:nvCxnSpPr>
      <xdr:spPr>
        <a:xfrm>
          <a:off x="13233400" y="8204200"/>
          <a:ext cx="965200" cy="0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711506</xdr:colOff>
      <xdr:row>35</xdr:row>
      <xdr:rowOff>110548</xdr:rowOff>
    </xdr:from>
    <xdr:to>
      <xdr:col>9</xdr:col>
      <xdr:colOff>736600</xdr:colOff>
      <xdr:row>51</xdr:row>
      <xdr:rowOff>103283</xdr:rowOff>
    </xdr:to>
    <xdr:cxnSp macro="">
      <xdr:nvCxnSpPr>
        <xdr:cNvPr id="33" name="Lige forbindelse 148">
          <a:extLst>
            <a:ext uri="{FF2B5EF4-FFF2-40B4-BE49-F238E27FC236}">
              <a16:creationId xmlns:a16="http://schemas.microsoft.com/office/drawing/2014/main" id="{E43ED400-61A1-704F-BFD5-AF00E4ECC46B}"/>
            </a:ext>
            <a:ext uri="{147F2762-F138-4A5C-976F-8EAC2B608ADB}">
              <a16:predDERef xmlns:a16="http://schemas.microsoft.com/office/drawing/2014/main" pred="{B660D390-B348-41D6-BB58-5FA5907EB8D2}"/>
            </a:ext>
          </a:extLst>
        </xdr:cNvPr>
        <xdr:cNvCxnSpPr/>
      </xdr:nvCxnSpPr>
      <xdr:spPr>
        <a:xfrm flipH="1">
          <a:off x="10615211" y="7317415"/>
          <a:ext cx="25094" cy="3114181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11475</xdr:colOff>
      <xdr:row>51</xdr:row>
      <xdr:rowOff>102824</xdr:rowOff>
    </xdr:from>
    <xdr:to>
      <xdr:col>9</xdr:col>
      <xdr:colOff>735375</xdr:colOff>
      <xdr:row>51</xdr:row>
      <xdr:rowOff>118410</xdr:rowOff>
    </xdr:to>
    <xdr:cxnSp macro="">
      <xdr:nvCxnSpPr>
        <xdr:cNvPr id="32" name="Lige forbindelse 149">
          <a:extLst>
            <a:ext uri="{FF2B5EF4-FFF2-40B4-BE49-F238E27FC236}">
              <a16:creationId xmlns:a16="http://schemas.microsoft.com/office/drawing/2014/main" id="{C60DF910-F4D6-7F43-B74B-8AA2D3E0D514}"/>
            </a:ext>
            <a:ext uri="{147F2762-F138-4A5C-976F-8EAC2B608ADB}">
              <a16:predDERef xmlns:a16="http://schemas.microsoft.com/office/drawing/2014/main" pred="{E43ED400-61A1-704F-BFD5-AF00E4ECC46B}"/>
            </a:ext>
          </a:extLst>
        </xdr:cNvPr>
        <xdr:cNvCxnSpPr>
          <a:cxnSpLocks/>
        </xdr:cNvCxnSpPr>
      </xdr:nvCxnSpPr>
      <xdr:spPr>
        <a:xfrm flipH="1">
          <a:off x="5485481" y="10431137"/>
          <a:ext cx="5153599" cy="15586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11475</xdr:colOff>
      <xdr:row>35</xdr:row>
      <xdr:rowOff>88900</xdr:rowOff>
    </xdr:from>
    <xdr:to>
      <xdr:col>9</xdr:col>
      <xdr:colOff>698500</xdr:colOff>
      <xdr:row>35</xdr:row>
      <xdr:rowOff>91808</xdr:rowOff>
    </xdr:to>
    <xdr:cxnSp macro="">
      <xdr:nvCxnSpPr>
        <xdr:cNvPr id="625" name="Lige pilforbindelse 47">
          <a:extLst>
            <a:ext uri="{FF2B5EF4-FFF2-40B4-BE49-F238E27FC236}">
              <a16:creationId xmlns:a16="http://schemas.microsoft.com/office/drawing/2014/main" id="{31630259-BD56-C346-850C-B408DF7B0CCC}"/>
            </a:ext>
            <a:ext uri="{147F2762-F138-4A5C-976F-8EAC2B608ADB}">
              <a16:predDERef xmlns:a16="http://schemas.microsoft.com/office/drawing/2014/main" pred="{A670159E-AC79-4DA6-9307-371BCB9085FA}"/>
            </a:ext>
          </a:extLst>
        </xdr:cNvPr>
        <xdr:cNvCxnSpPr/>
      </xdr:nvCxnSpPr>
      <xdr:spPr>
        <a:xfrm flipV="1">
          <a:off x="9238102" y="7295767"/>
          <a:ext cx="1364103" cy="2908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433552</xdr:colOff>
      <xdr:row>27</xdr:row>
      <xdr:rowOff>111673</xdr:rowOff>
    </xdr:from>
    <xdr:to>
      <xdr:col>14</xdr:col>
      <xdr:colOff>6569</xdr:colOff>
      <xdr:row>27</xdr:row>
      <xdr:rowOff>111673</xdr:rowOff>
    </xdr:to>
    <xdr:cxnSp macro="">
      <xdr:nvCxnSpPr>
        <xdr:cNvPr id="364" name="Lige pilforbindelse 289">
          <a:extLst>
            <a:ext uri="{FF2B5EF4-FFF2-40B4-BE49-F238E27FC236}">
              <a16:creationId xmlns:a16="http://schemas.microsoft.com/office/drawing/2014/main" id="{746676E4-06B0-2045-9943-3E619BBEC076}"/>
            </a:ext>
            <a:ext uri="{147F2762-F138-4A5C-976F-8EAC2B608ADB}">
              <a16:predDERef xmlns:a16="http://schemas.microsoft.com/office/drawing/2014/main" pred="{A670159E-AC79-4DA6-9307-371BCB9085FA}"/>
            </a:ext>
          </a:extLst>
        </xdr:cNvPr>
        <xdr:cNvCxnSpPr/>
      </xdr:nvCxnSpPr>
      <xdr:spPr>
        <a:xfrm>
          <a:off x="13525500" y="5136932"/>
          <a:ext cx="249621" cy="0"/>
        </a:xfrm>
        <a:prstGeom prst="straightConnector1">
          <a:avLst/>
        </a:prstGeom>
        <a:ln>
          <a:solidFill>
            <a:srgbClr val="815633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13138</xdr:colOff>
      <xdr:row>11</xdr:row>
      <xdr:rowOff>117912</xdr:rowOff>
    </xdr:from>
    <xdr:to>
      <xdr:col>2</xdr:col>
      <xdr:colOff>459441</xdr:colOff>
      <xdr:row>11</xdr:row>
      <xdr:rowOff>117912</xdr:rowOff>
    </xdr:to>
    <xdr:cxnSp macro="">
      <xdr:nvCxnSpPr>
        <xdr:cNvPr id="312" name="Straight Connector 59">
          <a:extLst>
            <a:ext uri="{FF2B5EF4-FFF2-40B4-BE49-F238E27FC236}">
              <a16:creationId xmlns:a16="http://schemas.microsoft.com/office/drawing/2014/main" id="{E405DD89-D3F2-4E74-B684-43FBC9341199}"/>
            </a:ext>
            <a:ext uri="{147F2762-F138-4A5C-976F-8EAC2B608ADB}">
              <a16:predDERef xmlns:a16="http://schemas.microsoft.com/office/drawing/2014/main" pred="{E22995D2-CDB8-B443-85F3-05EA04DBF333}"/>
            </a:ext>
          </a:extLst>
        </xdr:cNvPr>
        <xdr:cNvCxnSpPr>
          <a:cxnSpLocks/>
        </xdr:cNvCxnSpPr>
      </xdr:nvCxnSpPr>
      <xdr:spPr>
        <a:xfrm>
          <a:off x="1895726" y="2022912"/>
          <a:ext cx="446303" cy="0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448359</xdr:colOff>
      <xdr:row>6</xdr:row>
      <xdr:rowOff>100853</xdr:rowOff>
    </xdr:from>
    <xdr:to>
      <xdr:col>2</xdr:col>
      <xdr:colOff>448359</xdr:colOff>
      <xdr:row>11</xdr:row>
      <xdr:rowOff>112059</xdr:rowOff>
    </xdr:to>
    <xdr:cxnSp macro="">
      <xdr:nvCxnSpPr>
        <xdr:cNvPr id="517" name="Lige forbindelse 67">
          <a:extLst>
            <a:ext uri="{FF2B5EF4-FFF2-40B4-BE49-F238E27FC236}">
              <a16:creationId xmlns:a16="http://schemas.microsoft.com/office/drawing/2014/main" id="{4AE4A84C-A8EF-4152-8633-A1E9058F6F19}"/>
            </a:ext>
            <a:ext uri="{147F2762-F138-4A5C-976F-8EAC2B608ADB}">
              <a16:predDERef xmlns:a16="http://schemas.microsoft.com/office/drawing/2014/main" pred="{832810D9-B39E-46CB-8FC9-3FED96640B52}"/>
            </a:ext>
          </a:extLst>
        </xdr:cNvPr>
        <xdr:cNvCxnSpPr/>
      </xdr:nvCxnSpPr>
      <xdr:spPr>
        <a:xfrm>
          <a:off x="2330947" y="1636059"/>
          <a:ext cx="0" cy="1019735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98535</xdr:rowOff>
    </xdr:from>
    <xdr:to>
      <xdr:col>13</xdr:col>
      <xdr:colOff>19707</xdr:colOff>
      <xdr:row>10</xdr:row>
      <xdr:rowOff>98536</xdr:rowOff>
    </xdr:to>
    <xdr:cxnSp macro="">
      <xdr:nvCxnSpPr>
        <xdr:cNvPr id="302" name="Straight Connector 59">
          <a:extLst>
            <a:ext uri="{FF2B5EF4-FFF2-40B4-BE49-F238E27FC236}">
              <a16:creationId xmlns:a16="http://schemas.microsoft.com/office/drawing/2014/main" id="{022E17DF-6976-41ED-A9E1-B78C6C35F985}"/>
            </a:ext>
            <a:ext uri="{147F2762-F138-4A5C-976F-8EAC2B608ADB}">
              <a16:predDERef xmlns:a16="http://schemas.microsoft.com/office/drawing/2014/main" pred="{E22995D2-CDB8-B443-85F3-05EA04DBF333}"/>
            </a:ext>
          </a:extLst>
        </xdr:cNvPr>
        <xdr:cNvCxnSpPr>
          <a:cxnSpLocks/>
        </xdr:cNvCxnSpPr>
      </xdr:nvCxnSpPr>
      <xdr:spPr>
        <a:xfrm flipV="1">
          <a:off x="12415345" y="1773621"/>
          <a:ext cx="696310" cy="1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91966</xdr:rowOff>
    </xdr:from>
    <xdr:to>
      <xdr:col>14</xdr:col>
      <xdr:colOff>0</xdr:colOff>
      <xdr:row>10</xdr:row>
      <xdr:rowOff>91966</xdr:rowOff>
    </xdr:to>
    <xdr:cxnSp macro="">
      <xdr:nvCxnSpPr>
        <xdr:cNvPr id="297" name="Lige pilforbindelse 93">
          <a:extLst>
            <a:ext uri="{FF2B5EF4-FFF2-40B4-BE49-F238E27FC236}">
              <a16:creationId xmlns:a16="http://schemas.microsoft.com/office/drawing/2014/main" id="{C731B9F3-6F1C-4AC8-A9C7-B1F6FB8D3731}"/>
            </a:ext>
          </a:extLst>
        </xdr:cNvPr>
        <xdr:cNvCxnSpPr/>
      </xdr:nvCxnSpPr>
      <xdr:spPr>
        <a:xfrm>
          <a:off x="13091948" y="1767052"/>
          <a:ext cx="676604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670034</xdr:colOff>
      <xdr:row>11</xdr:row>
      <xdr:rowOff>98535</xdr:rowOff>
    </xdr:from>
    <xdr:to>
      <xdr:col>13</xdr:col>
      <xdr:colOff>670035</xdr:colOff>
      <xdr:row>11</xdr:row>
      <xdr:rowOff>98535</xdr:rowOff>
    </xdr:to>
    <xdr:cxnSp macro="">
      <xdr:nvCxnSpPr>
        <xdr:cNvPr id="296" name="Lige pilforbindelse 94">
          <a:extLst>
            <a:ext uri="{FF2B5EF4-FFF2-40B4-BE49-F238E27FC236}">
              <a16:creationId xmlns:a16="http://schemas.microsoft.com/office/drawing/2014/main" id="{41F23C94-25EF-47B7-8DB6-507DFF5501BE}"/>
            </a:ext>
          </a:extLst>
        </xdr:cNvPr>
        <xdr:cNvCxnSpPr/>
      </xdr:nvCxnSpPr>
      <xdr:spPr>
        <a:xfrm>
          <a:off x="13085379" y="1970690"/>
          <a:ext cx="676604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45</xdr:row>
      <xdr:rowOff>105103</xdr:rowOff>
    </xdr:from>
    <xdr:to>
      <xdr:col>14</xdr:col>
      <xdr:colOff>2846</xdr:colOff>
      <xdr:row>45</xdr:row>
      <xdr:rowOff>105103</xdr:rowOff>
    </xdr:to>
    <xdr:cxnSp macro="">
      <xdr:nvCxnSpPr>
        <xdr:cNvPr id="88" name="Lige pilforbindelse 100">
          <a:extLst>
            <a:ext uri="{FF2B5EF4-FFF2-40B4-BE49-F238E27FC236}">
              <a16:creationId xmlns:a16="http://schemas.microsoft.com/office/drawing/2014/main" id="{62E2223D-87B3-49CA-98CA-7F2E1F7456A4}"/>
            </a:ext>
            <a:ext uri="{147F2762-F138-4A5C-976F-8EAC2B608ADB}">
              <a16:predDERef xmlns:a16="http://schemas.microsoft.com/office/drawing/2014/main" pred="{1597F1D7-2676-47D5-B414-CCFCA9838B76}"/>
            </a:ext>
          </a:extLst>
        </xdr:cNvPr>
        <xdr:cNvCxnSpPr/>
      </xdr:nvCxnSpPr>
      <xdr:spPr>
        <a:xfrm>
          <a:off x="13091948" y="8519948"/>
          <a:ext cx="67945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44</xdr:row>
      <xdr:rowOff>91965</xdr:rowOff>
    </xdr:from>
    <xdr:to>
      <xdr:col>14</xdr:col>
      <xdr:colOff>2846</xdr:colOff>
      <xdr:row>44</xdr:row>
      <xdr:rowOff>91965</xdr:rowOff>
    </xdr:to>
    <xdr:cxnSp macro="">
      <xdr:nvCxnSpPr>
        <xdr:cNvPr id="89" name="Lige pilforbindelse 101">
          <a:extLst>
            <a:ext uri="{FF2B5EF4-FFF2-40B4-BE49-F238E27FC236}">
              <a16:creationId xmlns:a16="http://schemas.microsoft.com/office/drawing/2014/main" id="{FCA78813-DC67-40DC-AEDB-74ACCC68F121}"/>
            </a:ext>
            <a:ext uri="{147F2762-F138-4A5C-976F-8EAC2B608ADB}">
              <a16:predDERef xmlns:a16="http://schemas.microsoft.com/office/drawing/2014/main" pred="{1597F1D7-2676-47D5-B414-CCFCA9838B76}"/>
            </a:ext>
          </a:extLst>
        </xdr:cNvPr>
        <xdr:cNvCxnSpPr/>
      </xdr:nvCxnSpPr>
      <xdr:spPr>
        <a:xfrm>
          <a:off x="13091948" y="8309741"/>
          <a:ext cx="67945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43</xdr:row>
      <xdr:rowOff>85396</xdr:rowOff>
    </xdr:from>
    <xdr:to>
      <xdr:col>14</xdr:col>
      <xdr:colOff>2846</xdr:colOff>
      <xdr:row>43</xdr:row>
      <xdr:rowOff>85396</xdr:rowOff>
    </xdr:to>
    <xdr:cxnSp macro="">
      <xdr:nvCxnSpPr>
        <xdr:cNvPr id="90" name="Lige pilforbindelse 102">
          <a:extLst>
            <a:ext uri="{FF2B5EF4-FFF2-40B4-BE49-F238E27FC236}">
              <a16:creationId xmlns:a16="http://schemas.microsoft.com/office/drawing/2014/main" id="{B15374BD-081B-4B21-B267-C4F419AD2588}"/>
            </a:ext>
            <a:ext uri="{147F2762-F138-4A5C-976F-8EAC2B608ADB}">
              <a16:predDERef xmlns:a16="http://schemas.microsoft.com/office/drawing/2014/main" pred="{1597F1D7-2676-47D5-B414-CCFCA9838B76}"/>
            </a:ext>
          </a:extLst>
        </xdr:cNvPr>
        <xdr:cNvCxnSpPr/>
      </xdr:nvCxnSpPr>
      <xdr:spPr>
        <a:xfrm>
          <a:off x="13091948" y="8106103"/>
          <a:ext cx="67945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11476</xdr:colOff>
      <xdr:row>41</xdr:row>
      <xdr:rowOff>123148</xdr:rowOff>
    </xdr:from>
    <xdr:to>
      <xdr:col>8</xdr:col>
      <xdr:colOff>11476</xdr:colOff>
      <xdr:row>41</xdr:row>
      <xdr:rowOff>123149</xdr:rowOff>
    </xdr:to>
    <xdr:cxnSp macro="">
      <xdr:nvCxnSpPr>
        <xdr:cNvPr id="10" name="Lige forbindelse 45">
          <a:extLst>
            <a:ext uri="{FF2B5EF4-FFF2-40B4-BE49-F238E27FC236}">
              <a16:creationId xmlns:a16="http://schemas.microsoft.com/office/drawing/2014/main" id="{FD5F42A1-9CA3-425A-9F9C-F111F4134BBB}"/>
            </a:ext>
            <a:ext uri="{147F2762-F138-4A5C-976F-8EAC2B608ADB}">
              <a16:predDERef xmlns:a16="http://schemas.microsoft.com/office/drawing/2014/main" pred="{9A0926CA-1D69-4E7B-84DB-2305B7E97699}"/>
            </a:ext>
          </a:extLst>
        </xdr:cNvPr>
        <xdr:cNvCxnSpPr/>
      </xdr:nvCxnSpPr>
      <xdr:spPr>
        <a:xfrm flipV="1">
          <a:off x="6908494" y="8500558"/>
          <a:ext cx="2329609" cy="1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101023</xdr:rowOff>
    </xdr:from>
    <xdr:to>
      <xdr:col>8</xdr:col>
      <xdr:colOff>14433</xdr:colOff>
      <xdr:row>41</xdr:row>
      <xdr:rowOff>126235</xdr:rowOff>
    </xdr:to>
    <xdr:cxnSp macro="">
      <xdr:nvCxnSpPr>
        <xdr:cNvPr id="13" name="Lige forbindelse 46">
          <a:extLst>
            <a:ext uri="{FF2B5EF4-FFF2-40B4-BE49-F238E27FC236}">
              <a16:creationId xmlns:a16="http://schemas.microsoft.com/office/drawing/2014/main" id="{23EA4961-3319-4174-B707-97DA992D03D3}"/>
            </a:ext>
            <a:ext uri="{147F2762-F138-4A5C-976F-8EAC2B608ADB}">
              <a16:predDERef xmlns:a16="http://schemas.microsoft.com/office/drawing/2014/main" pred="{07CD4D78-A63D-46E4-9B15-C6381F3A7354}"/>
            </a:ext>
          </a:extLst>
        </xdr:cNvPr>
        <xdr:cNvCxnSpPr/>
      </xdr:nvCxnSpPr>
      <xdr:spPr>
        <a:xfrm flipV="1">
          <a:off x="9226627" y="7296415"/>
          <a:ext cx="14433" cy="1207230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91966</xdr:rowOff>
    </xdr:from>
    <xdr:to>
      <xdr:col>13</xdr:col>
      <xdr:colOff>420414</xdr:colOff>
      <xdr:row>31</xdr:row>
      <xdr:rowOff>91967</xdr:rowOff>
    </xdr:to>
    <xdr:cxnSp macro="">
      <xdr:nvCxnSpPr>
        <xdr:cNvPr id="362" name="Lige forbindelse 45">
          <a:extLst>
            <a:ext uri="{FF2B5EF4-FFF2-40B4-BE49-F238E27FC236}">
              <a16:creationId xmlns:a16="http://schemas.microsoft.com/office/drawing/2014/main" id="{85E8667A-225F-4CBA-8954-B2C169767562}"/>
            </a:ext>
            <a:ext uri="{147F2762-F138-4A5C-976F-8EAC2B608ADB}">
              <a16:predDERef xmlns:a16="http://schemas.microsoft.com/office/drawing/2014/main" pred="{9A0926CA-1D69-4E7B-84DB-2305B7E97699}"/>
            </a:ext>
          </a:extLst>
        </xdr:cNvPr>
        <xdr:cNvCxnSpPr/>
      </xdr:nvCxnSpPr>
      <xdr:spPr>
        <a:xfrm flipV="1">
          <a:off x="12415345" y="5708432"/>
          <a:ext cx="1097017" cy="1"/>
        </a:xfrm>
        <a:prstGeom prst="line">
          <a:avLst/>
        </a:prstGeom>
        <a:ln>
          <a:solidFill>
            <a:srgbClr val="815633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426983</xdr:colOff>
      <xdr:row>27</xdr:row>
      <xdr:rowOff>124810</xdr:rowOff>
    </xdr:from>
    <xdr:to>
      <xdr:col>13</xdr:col>
      <xdr:colOff>426983</xdr:colOff>
      <xdr:row>31</xdr:row>
      <xdr:rowOff>105105</xdr:rowOff>
    </xdr:to>
    <xdr:cxnSp macro="">
      <xdr:nvCxnSpPr>
        <xdr:cNvPr id="363" name="Lige forbindelse 46">
          <a:extLst>
            <a:ext uri="{FF2B5EF4-FFF2-40B4-BE49-F238E27FC236}">
              <a16:creationId xmlns:a16="http://schemas.microsoft.com/office/drawing/2014/main" id="{E63BCA60-E5C3-4579-9B74-C5E655D6A9A1}"/>
            </a:ext>
            <a:ext uri="{147F2762-F138-4A5C-976F-8EAC2B608ADB}">
              <a16:predDERef xmlns:a16="http://schemas.microsoft.com/office/drawing/2014/main" pred="{07CD4D78-A63D-46E4-9B15-C6381F3A7354}"/>
            </a:ext>
          </a:extLst>
        </xdr:cNvPr>
        <xdr:cNvCxnSpPr/>
      </xdr:nvCxnSpPr>
      <xdr:spPr>
        <a:xfrm flipV="1">
          <a:off x="13518931" y="5150069"/>
          <a:ext cx="0" cy="571502"/>
        </a:xfrm>
        <a:prstGeom prst="line">
          <a:avLst/>
        </a:prstGeom>
        <a:ln>
          <a:solidFill>
            <a:srgbClr val="815633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426983</xdr:colOff>
      <xdr:row>29</xdr:row>
      <xdr:rowOff>111672</xdr:rowOff>
    </xdr:from>
    <xdr:to>
      <xdr:col>14</xdr:col>
      <xdr:colOff>0</xdr:colOff>
      <xdr:row>29</xdr:row>
      <xdr:rowOff>111672</xdr:rowOff>
    </xdr:to>
    <xdr:cxnSp macro="">
      <xdr:nvCxnSpPr>
        <xdr:cNvPr id="365" name="Lige pilforbindelse 157">
          <a:extLst>
            <a:ext uri="{FF2B5EF4-FFF2-40B4-BE49-F238E27FC236}">
              <a16:creationId xmlns:a16="http://schemas.microsoft.com/office/drawing/2014/main" id="{C6DEBB9B-170C-4CA1-9744-0D9474F850FF}"/>
            </a:ext>
            <a:ext uri="{147F2762-F138-4A5C-976F-8EAC2B608ADB}">
              <a16:predDERef xmlns:a16="http://schemas.microsoft.com/office/drawing/2014/main" pred="{A670159E-AC79-4DA6-9307-371BCB9085FA}"/>
            </a:ext>
          </a:extLst>
        </xdr:cNvPr>
        <xdr:cNvCxnSpPr/>
      </xdr:nvCxnSpPr>
      <xdr:spPr>
        <a:xfrm>
          <a:off x="13518931" y="5334000"/>
          <a:ext cx="249621" cy="0"/>
        </a:xfrm>
        <a:prstGeom prst="straightConnector1">
          <a:avLst/>
        </a:prstGeom>
        <a:ln>
          <a:solidFill>
            <a:srgbClr val="815633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407276</xdr:colOff>
      <xdr:row>17</xdr:row>
      <xdr:rowOff>98534</xdr:rowOff>
    </xdr:from>
    <xdr:to>
      <xdr:col>14</xdr:col>
      <xdr:colOff>0</xdr:colOff>
      <xdr:row>17</xdr:row>
      <xdr:rowOff>98534</xdr:rowOff>
    </xdr:to>
    <xdr:cxnSp macro="">
      <xdr:nvCxnSpPr>
        <xdr:cNvPr id="454" name="Lige pilforbindelse 162">
          <a:extLst>
            <a:ext uri="{FF2B5EF4-FFF2-40B4-BE49-F238E27FC236}">
              <a16:creationId xmlns:a16="http://schemas.microsoft.com/office/drawing/2014/main" id="{9BEBD798-F1F3-4C9D-ABFA-E153370ED742}"/>
            </a:ext>
            <a:ext uri="{147F2762-F138-4A5C-976F-8EAC2B608ADB}">
              <a16:predDERef xmlns:a16="http://schemas.microsoft.com/office/drawing/2014/main" pred="{97F799E6-B56D-4EA5-B698-BE20C1834C8B}"/>
            </a:ext>
          </a:extLst>
        </xdr:cNvPr>
        <xdr:cNvCxnSpPr/>
      </xdr:nvCxnSpPr>
      <xdr:spPr>
        <a:xfrm>
          <a:off x="13495747" y="3213769"/>
          <a:ext cx="265077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407276</xdr:colOff>
      <xdr:row>16</xdr:row>
      <xdr:rowOff>91965</xdr:rowOff>
    </xdr:from>
    <xdr:to>
      <xdr:col>14</xdr:col>
      <xdr:colOff>0</xdr:colOff>
      <xdr:row>16</xdr:row>
      <xdr:rowOff>91965</xdr:rowOff>
    </xdr:to>
    <xdr:cxnSp macro="">
      <xdr:nvCxnSpPr>
        <xdr:cNvPr id="453" name="Lige pilforbindelse 179">
          <a:extLst>
            <a:ext uri="{FF2B5EF4-FFF2-40B4-BE49-F238E27FC236}">
              <a16:creationId xmlns:a16="http://schemas.microsoft.com/office/drawing/2014/main" id="{521A72B5-1273-4208-9942-993D3F0ACC29}"/>
            </a:ext>
            <a:ext uri="{147F2762-F138-4A5C-976F-8EAC2B608ADB}">
              <a16:predDERef xmlns:a16="http://schemas.microsoft.com/office/drawing/2014/main" pred="{97F799E6-B56D-4EA5-B698-BE20C1834C8B}"/>
            </a:ext>
          </a:extLst>
        </xdr:cNvPr>
        <xdr:cNvCxnSpPr/>
      </xdr:nvCxnSpPr>
      <xdr:spPr>
        <a:xfrm>
          <a:off x="13495747" y="3005494"/>
          <a:ext cx="265077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400707</xdr:colOff>
      <xdr:row>15</xdr:row>
      <xdr:rowOff>91966</xdr:rowOff>
    </xdr:from>
    <xdr:to>
      <xdr:col>13</xdr:col>
      <xdr:colOff>400707</xdr:colOff>
      <xdr:row>17</xdr:row>
      <xdr:rowOff>105103</xdr:rowOff>
    </xdr:to>
    <xdr:cxnSp macro="">
      <xdr:nvCxnSpPr>
        <xdr:cNvPr id="333" name="Lige forbindelse 211">
          <a:extLst>
            <a:ext uri="{FF2B5EF4-FFF2-40B4-BE49-F238E27FC236}">
              <a16:creationId xmlns:a16="http://schemas.microsoft.com/office/drawing/2014/main" id="{9E6707EA-A02F-4258-8736-D1D148DD3572}"/>
            </a:ext>
            <a:ext uri="{147F2762-F138-4A5C-976F-8EAC2B608ADB}">
              <a16:predDERef xmlns:a16="http://schemas.microsoft.com/office/drawing/2014/main" pred="{739DBAED-EF4E-4449-906E-04D847FAF72F}"/>
            </a:ext>
          </a:extLst>
        </xdr:cNvPr>
        <xdr:cNvCxnSpPr/>
      </xdr:nvCxnSpPr>
      <xdr:spPr>
        <a:xfrm>
          <a:off x="13492655" y="2752397"/>
          <a:ext cx="0" cy="40727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91966</xdr:rowOff>
    </xdr:from>
    <xdr:to>
      <xdr:col>13</xdr:col>
      <xdr:colOff>400707</xdr:colOff>
      <xdr:row>16</xdr:row>
      <xdr:rowOff>98534</xdr:rowOff>
    </xdr:to>
    <xdr:cxnSp macro="">
      <xdr:nvCxnSpPr>
        <xdr:cNvPr id="332" name="Lige forbindelse 216">
          <a:extLst>
            <a:ext uri="{FF2B5EF4-FFF2-40B4-BE49-F238E27FC236}">
              <a16:creationId xmlns:a16="http://schemas.microsoft.com/office/drawing/2014/main" id="{703F3872-046E-44CA-AABA-07810767C65D}"/>
            </a:ext>
            <a:ext uri="{147F2762-F138-4A5C-976F-8EAC2B608ADB}">
              <a16:predDERef xmlns:a16="http://schemas.microsoft.com/office/drawing/2014/main" pred="{C7122301-D1D8-4B08-8FB6-EFA77E888719}"/>
            </a:ext>
          </a:extLst>
        </xdr:cNvPr>
        <xdr:cNvCxnSpPr/>
      </xdr:nvCxnSpPr>
      <xdr:spPr>
        <a:xfrm flipV="1">
          <a:off x="12415345" y="2949466"/>
          <a:ext cx="1077310" cy="6568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642650</xdr:colOff>
      <xdr:row>37</xdr:row>
      <xdr:rowOff>114759</xdr:rowOff>
    </xdr:from>
    <xdr:to>
      <xdr:col>9</xdr:col>
      <xdr:colOff>654126</xdr:colOff>
      <xdr:row>45</xdr:row>
      <xdr:rowOff>114759</xdr:rowOff>
    </xdr:to>
    <xdr:cxnSp macro="">
      <xdr:nvCxnSpPr>
        <xdr:cNvPr id="23" name="Lige forbindelse 46">
          <a:extLst>
            <a:ext uri="{FF2B5EF4-FFF2-40B4-BE49-F238E27FC236}">
              <a16:creationId xmlns:a16="http://schemas.microsoft.com/office/drawing/2014/main" id="{86FB0FB8-9519-4771-BCFD-51A0CF6B578B}"/>
            </a:ext>
            <a:ext uri="{147F2762-F138-4A5C-976F-8EAC2B608ADB}">
              <a16:predDERef xmlns:a16="http://schemas.microsoft.com/office/drawing/2014/main" pred="{07CD4D78-A63D-46E4-9B15-C6381F3A7354}"/>
            </a:ext>
          </a:extLst>
        </xdr:cNvPr>
        <xdr:cNvCxnSpPr/>
      </xdr:nvCxnSpPr>
      <xdr:spPr>
        <a:xfrm flipH="1">
          <a:off x="10546355" y="7711807"/>
          <a:ext cx="11476" cy="1560723"/>
        </a:xfrm>
        <a:prstGeom prst="line">
          <a:avLst/>
        </a:prstGeom>
        <a:ln>
          <a:solidFill>
            <a:srgbClr val="815633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665602</xdr:colOff>
      <xdr:row>37</xdr:row>
      <xdr:rowOff>114759</xdr:rowOff>
    </xdr:from>
    <xdr:to>
      <xdr:col>10</xdr:col>
      <xdr:colOff>1359</xdr:colOff>
      <xdr:row>37</xdr:row>
      <xdr:rowOff>115285</xdr:rowOff>
    </xdr:to>
    <xdr:cxnSp macro="">
      <xdr:nvCxnSpPr>
        <xdr:cNvPr id="27" name="Lige pilforbindelse 47">
          <a:extLst>
            <a:ext uri="{FF2B5EF4-FFF2-40B4-BE49-F238E27FC236}">
              <a16:creationId xmlns:a16="http://schemas.microsoft.com/office/drawing/2014/main" id="{F64807BD-D9CF-4E0F-BB59-715AA2BA94F0}"/>
            </a:ext>
            <a:ext uri="{147F2762-F138-4A5C-976F-8EAC2B608ADB}">
              <a16:predDERef xmlns:a16="http://schemas.microsoft.com/office/drawing/2014/main" pred="{A670159E-AC79-4DA6-9307-371BCB9085FA}"/>
            </a:ext>
          </a:extLst>
        </xdr:cNvPr>
        <xdr:cNvCxnSpPr/>
      </xdr:nvCxnSpPr>
      <xdr:spPr>
        <a:xfrm>
          <a:off x="10569307" y="7711807"/>
          <a:ext cx="219401" cy="526"/>
        </a:xfrm>
        <a:prstGeom prst="straightConnector1">
          <a:avLst/>
        </a:prstGeom>
        <a:ln>
          <a:solidFill>
            <a:srgbClr val="815633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1524270</xdr:colOff>
      <xdr:row>47</xdr:row>
      <xdr:rowOff>114759</xdr:rowOff>
    </xdr:from>
    <xdr:to>
      <xdr:col>5</xdr:col>
      <xdr:colOff>240994</xdr:colOff>
      <xdr:row>47</xdr:row>
      <xdr:rowOff>126235</xdr:rowOff>
    </xdr:to>
    <xdr:cxnSp macro="">
      <xdr:nvCxnSpPr>
        <xdr:cNvPr id="35" name="Straight Connector 69">
          <a:extLst>
            <a:ext uri="{FF2B5EF4-FFF2-40B4-BE49-F238E27FC236}">
              <a16:creationId xmlns:a16="http://schemas.microsoft.com/office/drawing/2014/main" id="{F81048EC-3DD1-4731-8558-B752B9697CFB}"/>
            </a:ext>
          </a:extLst>
        </xdr:cNvPr>
        <xdr:cNvCxnSpPr/>
      </xdr:nvCxnSpPr>
      <xdr:spPr>
        <a:xfrm>
          <a:off x="4083397" y="9662711"/>
          <a:ext cx="1631603" cy="11476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229518</xdr:colOff>
      <xdr:row>47</xdr:row>
      <xdr:rowOff>137711</xdr:rowOff>
    </xdr:from>
    <xdr:to>
      <xdr:col>5</xdr:col>
      <xdr:colOff>240994</xdr:colOff>
      <xdr:row>52</xdr:row>
      <xdr:rowOff>114759</xdr:rowOff>
    </xdr:to>
    <xdr:cxnSp macro="">
      <xdr:nvCxnSpPr>
        <xdr:cNvPr id="36" name="Straight Connector 72">
          <a:extLst>
            <a:ext uri="{FF2B5EF4-FFF2-40B4-BE49-F238E27FC236}">
              <a16:creationId xmlns:a16="http://schemas.microsoft.com/office/drawing/2014/main" id="{3B69320B-34FF-48F5-AB7B-EA99C39DE2D2}"/>
            </a:ext>
          </a:extLst>
        </xdr:cNvPr>
        <xdr:cNvCxnSpPr/>
      </xdr:nvCxnSpPr>
      <xdr:spPr>
        <a:xfrm>
          <a:off x="5703524" y="9685663"/>
          <a:ext cx="11476" cy="95250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123265</xdr:rowOff>
    </xdr:from>
    <xdr:to>
      <xdr:col>1</xdr:col>
      <xdr:colOff>661147</xdr:colOff>
      <xdr:row>37</xdr:row>
      <xdr:rowOff>123265</xdr:rowOff>
    </xdr:to>
    <xdr:cxnSp macro="">
      <xdr:nvCxnSpPr>
        <xdr:cNvPr id="662" name="Lige pilforbindelse 356">
          <a:extLst>
            <a:ext uri="{FF2B5EF4-FFF2-40B4-BE49-F238E27FC236}">
              <a16:creationId xmlns:a16="http://schemas.microsoft.com/office/drawing/2014/main" id="{EC9803C8-9911-494B-B76D-202E8A45BC47}"/>
            </a:ext>
            <a:ext uri="{147F2762-F138-4A5C-976F-8EAC2B608ADB}">
              <a16:predDERef xmlns:a16="http://schemas.microsoft.com/office/drawing/2014/main" pred="{3B69320B-34FF-48F5-AB7B-EA99C39DE2D2}"/>
            </a:ext>
          </a:extLst>
        </xdr:cNvPr>
        <xdr:cNvCxnSpPr/>
      </xdr:nvCxnSpPr>
      <xdr:spPr>
        <a:xfrm>
          <a:off x="1210235" y="6465794"/>
          <a:ext cx="661147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112059</xdr:rowOff>
    </xdr:from>
    <xdr:to>
      <xdr:col>1</xdr:col>
      <xdr:colOff>661147</xdr:colOff>
      <xdr:row>38</xdr:row>
      <xdr:rowOff>112059</xdr:rowOff>
    </xdr:to>
    <xdr:cxnSp macro="">
      <xdr:nvCxnSpPr>
        <xdr:cNvPr id="660" name="Lige pilforbindelse 357">
          <a:extLst>
            <a:ext uri="{FF2B5EF4-FFF2-40B4-BE49-F238E27FC236}">
              <a16:creationId xmlns:a16="http://schemas.microsoft.com/office/drawing/2014/main" id="{F2FE51C7-B86D-4F71-9D78-446DFD29A569}"/>
            </a:ext>
            <a:ext uri="{147F2762-F138-4A5C-976F-8EAC2B608ADB}">
              <a16:predDERef xmlns:a16="http://schemas.microsoft.com/office/drawing/2014/main" pred="{EC9803C8-9911-494B-B76D-202E8A45BC47}"/>
            </a:ext>
          </a:extLst>
        </xdr:cNvPr>
        <xdr:cNvCxnSpPr/>
      </xdr:nvCxnSpPr>
      <xdr:spPr>
        <a:xfrm>
          <a:off x="1210235" y="6667500"/>
          <a:ext cx="661147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39</xdr:row>
      <xdr:rowOff>89647</xdr:rowOff>
    </xdr:from>
    <xdr:to>
      <xdr:col>1</xdr:col>
      <xdr:colOff>661147</xdr:colOff>
      <xdr:row>39</xdr:row>
      <xdr:rowOff>89647</xdr:rowOff>
    </xdr:to>
    <xdr:cxnSp macro="">
      <xdr:nvCxnSpPr>
        <xdr:cNvPr id="668" name="Lige pilforbindelse 374">
          <a:extLst>
            <a:ext uri="{FF2B5EF4-FFF2-40B4-BE49-F238E27FC236}">
              <a16:creationId xmlns:a16="http://schemas.microsoft.com/office/drawing/2014/main" id="{2483253B-AB65-4538-A151-62DBB62226C7}"/>
            </a:ext>
            <a:ext uri="{147F2762-F138-4A5C-976F-8EAC2B608ADB}">
              <a16:predDERef xmlns:a16="http://schemas.microsoft.com/office/drawing/2014/main" pred="{F2FE51C7-B86D-4F71-9D78-446DFD29A569}"/>
            </a:ext>
          </a:extLst>
        </xdr:cNvPr>
        <xdr:cNvCxnSpPr/>
      </xdr:nvCxnSpPr>
      <xdr:spPr>
        <a:xfrm>
          <a:off x="1210235" y="6858000"/>
          <a:ext cx="661147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89648</xdr:rowOff>
    </xdr:from>
    <xdr:to>
      <xdr:col>1</xdr:col>
      <xdr:colOff>661147</xdr:colOff>
      <xdr:row>40</xdr:row>
      <xdr:rowOff>89648</xdr:rowOff>
    </xdr:to>
    <xdr:cxnSp macro="">
      <xdr:nvCxnSpPr>
        <xdr:cNvPr id="670" name="Lige pilforbindelse 379">
          <a:extLst>
            <a:ext uri="{FF2B5EF4-FFF2-40B4-BE49-F238E27FC236}">
              <a16:creationId xmlns:a16="http://schemas.microsoft.com/office/drawing/2014/main" id="{D875630A-2CB3-4C1B-838F-8C8EF365876C}"/>
            </a:ext>
            <a:ext uri="{147F2762-F138-4A5C-976F-8EAC2B608ADB}">
              <a16:predDERef xmlns:a16="http://schemas.microsoft.com/office/drawing/2014/main" pred="{2483253B-AB65-4538-A151-62DBB62226C7}"/>
            </a:ext>
          </a:extLst>
        </xdr:cNvPr>
        <xdr:cNvCxnSpPr/>
      </xdr:nvCxnSpPr>
      <xdr:spPr>
        <a:xfrm>
          <a:off x="1210235" y="7059707"/>
          <a:ext cx="661147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</xdr:row>
      <xdr:rowOff>100853</xdr:rowOff>
    </xdr:from>
    <xdr:to>
      <xdr:col>1</xdr:col>
      <xdr:colOff>661147</xdr:colOff>
      <xdr:row>41</xdr:row>
      <xdr:rowOff>100853</xdr:rowOff>
    </xdr:to>
    <xdr:cxnSp macro="">
      <xdr:nvCxnSpPr>
        <xdr:cNvPr id="666" name="Lige pilforbindelse 380">
          <a:extLst>
            <a:ext uri="{FF2B5EF4-FFF2-40B4-BE49-F238E27FC236}">
              <a16:creationId xmlns:a16="http://schemas.microsoft.com/office/drawing/2014/main" id="{620BD0D0-D539-44FC-A303-938E4EEAA9B1}"/>
            </a:ext>
            <a:ext uri="{147F2762-F138-4A5C-976F-8EAC2B608ADB}">
              <a16:predDERef xmlns:a16="http://schemas.microsoft.com/office/drawing/2014/main" pred="{D875630A-2CB3-4C1B-838F-8C8EF365876C}"/>
            </a:ext>
          </a:extLst>
        </xdr:cNvPr>
        <xdr:cNvCxnSpPr/>
      </xdr:nvCxnSpPr>
      <xdr:spPr>
        <a:xfrm>
          <a:off x="1210235" y="7272618"/>
          <a:ext cx="661147" cy="0"/>
        </a:xfrm>
        <a:prstGeom prst="straightConnector1">
          <a:avLst/>
        </a:prstGeom>
        <a:ln>
          <a:solidFill>
            <a:srgbClr val="815633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100853</xdr:rowOff>
    </xdr:from>
    <xdr:to>
      <xdr:col>1</xdr:col>
      <xdr:colOff>661147</xdr:colOff>
      <xdr:row>42</xdr:row>
      <xdr:rowOff>100853</xdr:rowOff>
    </xdr:to>
    <xdr:cxnSp macro="">
      <xdr:nvCxnSpPr>
        <xdr:cNvPr id="669" name="Lige pilforbindelse 383">
          <a:extLst>
            <a:ext uri="{FF2B5EF4-FFF2-40B4-BE49-F238E27FC236}">
              <a16:creationId xmlns:a16="http://schemas.microsoft.com/office/drawing/2014/main" id="{29051449-E8A5-4987-84D3-9CCDEAFED076}"/>
            </a:ext>
            <a:ext uri="{147F2762-F138-4A5C-976F-8EAC2B608ADB}">
              <a16:predDERef xmlns:a16="http://schemas.microsoft.com/office/drawing/2014/main" pred="{620BD0D0-D539-44FC-A303-938E4EEAA9B1}"/>
            </a:ext>
          </a:extLst>
        </xdr:cNvPr>
        <xdr:cNvCxnSpPr/>
      </xdr:nvCxnSpPr>
      <xdr:spPr>
        <a:xfrm>
          <a:off x="1210235" y="7474324"/>
          <a:ext cx="661147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43</xdr:row>
      <xdr:rowOff>100853</xdr:rowOff>
    </xdr:from>
    <xdr:to>
      <xdr:col>1</xdr:col>
      <xdr:colOff>661147</xdr:colOff>
      <xdr:row>43</xdr:row>
      <xdr:rowOff>100853</xdr:rowOff>
    </xdr:to>
    <xdr:cxnSp macro="">
      <xdr:nvCxnSpPr>
        <xdr:cNvPr id="664" name="Lige pilforbindelse 384">
          <a:extLst>
            <a:ext uri="{FF2B5EF4-FFF2-40B4-BE49-F238E27FC236}">
              <a16:creationId xmlns:a16="http://schemas.microsoft.com/office/drawing/2014/main" id="{98C3C7D2-9C13-4BC0-9943-273D2243335F}"/>
            </a:ext>
            <a:ext uri="{147F2762-F138-4A5C-976F-8EAC2B608ADB}">
              <a16:predDERef xmlns:a16="http://schemas.microsoft.com/office/drawing/2014/main" pred="{29051449-E8A5-4987-84D3-9CCDEAFED076}"/>
            </a:ext>
          </a:extLst>
        </xdr:cNvPr>
        <xdr:cNvCxnSpPr/>
      </xdr:nvCxnSpPr>
      <xdr:spPr>
        <a:xfrm>
          <a:off x="1210235" y="7676029"/>
          <a:ext cx="661147" cy="0"/>
        </a:xfrm>
        <a:prstGeom prst="straightConnector1">
          <a:avLst/>
        </a:prstGeom>
        <a:ln>
          <a:solidFill>
            <a:srgbClr val="92D050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100853</xdr:rowOff>
    </xdr:from>
    <xdr:to>
      <xdr:col>1</xdr:col>
      <xdr:colOff>661147</xdr:colOff>
      <xdr:row>44</xdr:row>
      <xdr:rowOff>100853</xdr:rowOff>
    </xdr:to>
    <xdr:cxnSp macro="">
      <xdr:nvCxnSpPr>
        <xdr:cNvPr id="661" name="Lige pilforbindelse 385">
          <a:extLst>
            <a:ext uri="{FF2B5EF4-FFF2-40B4-BE49-F238E27FC236}">
              <a16:creationId xmlns:a16="http://schemas.microsoft.com/office/drawing/2014/main" id="{A5F5A7C0-280D-4D6F-8C52-3AE320B6F4C0}"/>
            </a:ext>
            <a:ext uri="{147F2762-F138-4A5C-976F-8EAC2B608ADB}">
              <a16:predDERef xmlns:a16="http://schemas.microsoft.com/office/drawing/2014/main" pred="{98C3C7D2-9C13-4BC0-9943-273D2243335F}"/>
            </a:ext>
          </a:extLst>
        </xdr:cNvPr>
        <xdr:cNvCxnSpPr/>
      </xdr:nvCxnSpPr>
      <xdr:spPr>
        <a:xfrm>
          <a:off x="1210235" y="7877735"/>
          <a:ext cx="661147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45</xdr:row>
      <xdr:rowOff>111106</xdr:rowOff>
    </xdr:from>
    <xdr:to>
      <xdr:col>1</xdr:col>
      <xdr:colOff>661147</xdr:colOff>
      <xdr:row>45</xdr:row>
      <xdr:rowOff>111106</xdr:rowOff>
    </xdr:to>
    <xdr:cxnSp macro="">
      <xdr:nvCxnSpPr>
        <xdr:cNvPr id="667" name="Lige pilforbindelse 386">
          <a:extLst>
            <a:ext uri="{FF2B5EF4-FFF2-40B4-BE49-F238E27FC236}">
              <a16:creationId xmlns:a16="http://schemas.microsoft.com/office/drawing/2014/main" id="{321F1BF6-B563-4C95-8A75-13FD1ED41054}"/>
            </a:ext>
            <a:ext uri="{147F2762-F138-4A5C-976F-8EAC2B608ADB}">
              <a16:predDERef xmlns:a16="http://schemas.microsoft.com/office/drawing/2014/main" pred="{A5F5A7C0-280D-4D6F-8C52-3AE320B6F4C0}"/>
            </a:ext>
          </a:extLst>
        </xdr:cNvPr>
        <xdr:cNvCxnSpPr/>
      </xdr:nvCxnSpPr>
      <xdr:spPr>
        <a:xfrm>
          <a:off x="1207851" y="7978351"/>
          <a:ext cx="661147" cy="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</xdr:row>
      <xdr:rowOff>87740</xdr:rowOff>
    </xdr:from>
    <xdr:to>
      <xdr:col>1</xdr:col>
      <xdr:colOff>661147</xdr:colOff>
      <xdr:row>46</xdr:row>
      <xdr:rowOff>87740</xdr:rowOff>
    </xdr:to>
    <xdr:cxnSp macro="">
      <xdr:nvCxnSpPr>
        <xdr:cNvPr id="665" name="Lige pilforbindelse 388">
          <a:extLst>
            <a:ext uri="{FF2B5EF4-FFF2-40B4-BE49-F238E27FC236}">
              <a16:creationId xmlns:a16="http://schemas.microsoft.com/office/drawing/2014/main" id="{44C32B55-B492-4B94-95F2-CBB3150E633F}"/>
            </a:ext>
            <a:ext uri="{147F2762-F138-4A5C-976F-8EAC2B608ADB}">
              <a16:predDERef xmlns:a16="http://schemas.microsoft.com/office/drawing/2014/main" pred="{321F1BF6-B563-4C95-8A75-13FD1ED41054}"/>
            </a:ext>
          </a:extLst>
        </xdr:cNvPr>
        <xdr:cNvCxnSpPr/>
      </xdr:nvCxnSpPr>
      <xdr:spPr>
        <a:xfrm>
          <a:off x="1207851" y="8165751"/>
          <a:ext cx="661147" cy="0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749300</xdr:colOff>
      <xdr:row>20</xdr:row>
      <xdr:rowOff>1</xdr:rowOff>
    </xdr:from>
    <xdr:to>
      <xdr:col>4</xdr:col>
      <xdr:colOff>762000</xdr:colOff>
      <xdr:row>23</xdr:row>
      <xdr:rowOff>88900</xdr:rowOff>
    </xdr:to>
    <xdr:cxnSp macro="">
      <xdr:nvCxnSpPr>
        <xdr:cNvPr id="593" name="Lige forbindelse 103">
          <a:extLst>
            <a:ext uri="{FF2B5EF4-FFF2-40B4-BE49-F238E27FC236}">
              <a16:creationId xmlns:a16="http://schemas.microsoft.com/office/drawing/2014/main" id="{3B5FA0A2-6CE2-D549-9FAB-03E54D30C293}"/>
            </a:ext>
            <a:ext uri="{147F2762-F138-4A5C-976F-8EAC2B608ADB}">
              <a16:predDERef xmlns:a16="http://schemas.microsoft.com/office/drawing/2014/main" pred="{7D351BFE-0364-48B7-B154-2E0209CC0715}"/>
            </a:ext>
          </a:extLst>
        </xdr:cNvPr>
        <xdr:cNvCxnSpPr/>
      </xdr:nvCxnSpPr>
      <xdr:spPr>
        <a:xfrm flipH="1" flipV="1">
          <a:off x="5029200" y="4406901"/>
          <a:ext cx="12700" cy="698499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762000</xdr:colOff>
      <xdr:row>19</xdr:row>
      <xdr:rowOff>177800</xdr:rowOff>
    </xdr:from>
    <xdr:to>
      <xdr:col>12</xdr:col>
      <xdr:colOff>330200</xdr:colOff>
      <xdr:row>20</xdr:row>
      <xdr:rowOff>1</xdr:rowOff>
    </xdr:to>
    <xdr:cxnSp macro="">
      <xdr:nvCxnSpPr>
        <xdr:cNvPr id="595" name="Lige forbindelse 104">
          <a:extLst>
            <a:ext uri="{FF2B5EF4-FFF2-40B4-BE49-F238E27FC236}">
              <a16:creationId xmlns:a16="http://schemas.microsoft.com/office/drawing/2014/main" id="{3E918F96-30F3-B748-A432-408C72689916}"/>
            </a:ext>
            <a:ext uri="{147F2762-F138-4A5C-976F-8EAC2B608ADB}">
              <a16:predDERef xmlns:a16="http://schemas.microsoft.com/office/drawing/2014/main" pred="{7D351BFE-0364-48B7-B154-2E0209CC0715}"/>
            </a:ext>
          </a:extLst>
        </xdr:cNvPr>
        <xdr:cNvCxnSpPr/>
      </xdr:nvCxnSpPr>
      <xdr:spPr>
        <a:xfrm flipV="1">
          <a:off x="5041900" y="4381500"/>
          <a:ext cx="8140700" cy="25401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298374</xdr:colOff>
      <xdr:row>10</xdr:row>
      <xdr:rowOff>103283</xdr:rowOff>
    </xdr:from>
    <xdr:to>
      <xdr:col>12</xdr:col>
      <xdr:colOff>317500</xdr:colOff>
      <xdr:row>19</xdr:row>
      <xdr:rowOff>152400</xdr:rowOff>
    </xdr:to>
    <xdr:cxnSp macro="">
      <xdr:nvCxnSpPr>
        <xdr:cNvPr id="65" name="Lige forbindelse 105">
          <a:extLst>
            <a:ext uri="{FF2B5EF4-FFF2-40B4-BE49-F238E27FC236}">
              <a16:creationId xmlns:a16="http://schemas.microsoft.com/office/drawing/2014/main" id="{C8D3509E-50D2-8546-ACC2-F71278C15825}"/>
            </a:ext>
            <a:ext uri="{147F2762-F138-4A5C-976F-8EAC2B608ADB}">
              <a16:predDERef xmlns:a16="http://schemas.microsoft.com/office/drawing/2014/main" pred="{7D351BFE-0364-48B7-B154-2E0209CC0715}"/>
            </a:ext>
          </a:extLst>
        </xdr:cNvPr>
        <xdr:cNvCxnSpPr/>
      </xdr:nvCxnSpPr>
      <xdr:spPr>
        <a:xfrm>
          <a:off x="13139910" y="2409940"/>
          <a:ext cx="19126" cy="1804930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749300</xdr:colOff>
      <xdr:row>23</xdr:row>
      <xdr:rowOff>101600</xdr:rowOff>
    </xdr:from>
    <xdr:to>
      <xdr:col>4</xdr:col>
      <xdr:colOff>1167653</xdr:colOff>
      <xdr:row>23</xdr:row>
      <xdr:rowOff>102347</xdr:rowOff>
    </xdr:to>
    <xdr:cxnSp macro="">
      <xdr:nvCxnSpPr>
        <xdr:cNvPr id="590" name="Lige pilforbindelse 8">
          <a:extLst>
            <a:ext uri="{FF2B5EF4-FFF2-40B4-BE49-F238E27FC236}">
              <a16:creationId xmlns:a16="http://schemas.microsoft.com/office/drawing/2014/main" id="{5FA1D357-668E-1646-B1F2-D6F33FFB6AF8}"/>
            </a:ext>
            <a:ext uri="{147F2762-F138-4A5C-976F-8EAC2B608ADB}">
              <a16:predDERef xmlns:a16="http://schemas.microsoft.com/office/drawing/2014/main" pred="{5FC45768-21BA-4DC3-9C78-A78C0EAD3EFB}"/>
            </a:ext>
          </a:extLst>
        </xdr:cNvPr>
        <xdr:cNvCxnSpPr/>
      </xdr:nvCxnSpPr>
      <xdr:spPr>
        <a:xfrm>
          <a:off x="5029200" y="5118100"/>
          <a:ext cx="418353" cy="74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736600</xdr:colOff>
      <xdr:row>35</xdr:row>
      <xdr:rowOff>88900</xdr:rowOff>
    </xdr:from>
    <xdr:to>
      <xdr:col>9</xdr:col>
      <xdr:colOff>876300</xdr:colOff>
      <xdr:row>35</xdr:row>
      <xdr:rowOff>88900</xdr:rowOff>
    </xdr:to>
    <xdr:cxnSp macro="">
      <xdr:nvCxnSpPr>
        <xdr:cNvPr id="571" name="Lige pilforbindelse 145">
          <a:extLst>
            <a:ext uri="{FF2B5EF4-FFF2-40B4-BE49-F238E27FC236}">
              <a16:creationId xmlns:a16="http://schemas.microsoft.com/office/drawing/2014/main" id="{655734A7-266E-5748-8E42-3273BDC0EDB9}"/>
            </a:ext>
            <a:ext uri="{147F2762-F138-4A5C-976F-8EAC2B608ADB}">
              <a16:predDERef xmlns:a16="http://schemas.microsoft.com/office/drawing/2014/main" pred="{0AB4730E-2AD1-4206-86B4-E3697A4F3FC6}"/>
            </a:ext>
          </a:extLst>
        </xdr:cNvPr>
        <xdr:cNvCxnSpPr/>
      </xdr:nvCxnSpPr>
      <xdr:spPr>
        <a:xfrm>
          <a:off x="10642600" y="7556500"/>
          <a:ext cx="139700" cy="0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25400</xdr:colOff>
      <xdr:row>37</xdr:row>
      <xdr:rowOff>101600</xdr:rowOff>
    </xdr:from>
    <xdr:to>
      <xdr:col>12</xdr:col>
      <xdr:colOff>406400</xdr:colOff>
      <xdr:row>37</xdr:row>
      <xdr:rowOff>104486</xdr:rowOff>
    </xdr:to>
    <xdr:cxnSp macro="">
      <xdr:nvCxnSpPr>
        <xdr:cNvPr id="621" name="Lige forbindelse 149">
          <a:extLst>
            <a:ext uri="{FF2B5EF4-FFF2-40B4-BE49-F238E27FC236}">
              <a16:creationId xmlns:a16="http://schemas.microsoft.com/office/drawing/2014/main" id="{3ADDA6F0-1084-E14E-847D-20165E9BA711}"/>
            </a:ext>
            <a:ext uri="{147F2762-F138-4A5C-976F-8EAC2B608ADB}">
              <a16:predDERef xmlns:a16="http://schemas.microsoft.com/office/drawing/2014/main" pred="{E43ED400-61A1-704F-BFD5-AF00E4ECC46B}"/>
            </a:ext>
          </a:extLst>
        </xdr:cNvPr>
        <xdr:cNvCxnSpPr>
          <a:cxnSpLocks/>
        </xdr:cNvCxnSpPr>
      </xdr:nvCxnSpPr>
      <xdr:spPr>
        <a:xfrm flipH="1">
          <a:off x="12877800" y="7988300"/>
          <a:ext cx="381000" cy="2886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390181</xdr:colOff>
      <xdr:row>37</xdr:row>
      <xdr:rowOff>101601</xdr:rowOff>
    </xdr:from>
    <xdr:to>
      <xdr:col>12</xdr:col>
      <xdr:colOff>393700</xdr:colOff>
      <xdr:row>38</xdr:row>
      <xdr:rowOff>114759</xdr:rowOff>
    </xdr:to>
    <xdr:cxnSp macro="">
      <xdr:nvCxnSpPr>
        <xdr:cNvPr id="622" name="Lige forbindelse 149">
          <a:extLst>
            <a:ext uri="{FF2B5EF4-FFF2-40B4-BE49-F238E27FC236}">
              <a16:creationId xmlns:a16="http://schemas.microsoft.com/office/drawing/2014/main" id="{B03DBB88-42B5-D64A-A621-CEE63409C2B0}"/>
            </a:ext>
            <a:ext uri="{147F2762-F138-4A5C-976F-8EAC2B608ADB}">
              <a16:predDERef xmlns:a16="http://schemas.microsoft.com/office/drawing/2014/main" pred="{E43ED400-61A1-704F-BFD5-AF00E4ECC46B}"/>
            </a:ext>
          </a:extLst>
        </xdr:cNvPr>
        <xdr:cNvCxnSpPr>
          <a:cxnSpLocks/>
        </xdr:cNvCxnSpPr>
      </xdr:nvCxnSpPr>
      <xdr:spPr>
        <a:xfrm flipV="1">
          <a:off x="13231717" y="7698649"/>
          <a:ext cx="3519" cy="208249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22412</xdr:colOff>
      <xdr:row>32</xdr:row>
      <xdr:rowOff>89647</xdr:rowOff>
    </xdr:from>
    <xdr:to>
      <xdr:col>2</xdr:col>
      <xdr:colOff>481853</xdr:colOff>
      <xdr:row>32</xdr:row>
      <xdr:rowOff>89648</xdr:rowOff>
    </xdr:to>
    <xdr:cxnSp macro="">
      <xdr:nvCxnSpPr>
        <xdr:cNvPr id="691" name="Straight Connector 97">
          <a:extLst>
            <a:ext uri="{FF2B5EF4-FFF2-40B4-BE49-F238E27FC236}">
              <a16:creationId xmlns:a16="http://schemas.microsoft.com/office/drawing/2014/main" id="{553477EB-9212-414C-B1EB-B4CAEDAE094C}"/>
            </a:ext>
            <a:ext uri="{147F2762-F138-4A5C-976F-8EAC2B608ADB}">
              <a16:predDERef xmlns:a16="http://schemas.microsoft.com/office/drawing/2014/main" pred="{B03DBB88-42B5-D64A-A621-CEE63409C2B0}"/>
            </a:ext>
          </a:extLst>
        </xdr:cNvPr>
        <xdr:cNvCxnSpPr>
          <a:cxnSpLocks/>
        </xdr:cNvCxnSpPr>
      </xdr:nvCxnSpPr>
      <xdr:spPr>
        <a:xfrm flipV="1">
          <a:off x="1905000" y="6869206"/>
          <a:ext cx="459441" cy="1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481988</xdr:colOff>
      <xdr:row>49</xdr:row>
      <xdr:rowOff>114759</xdr:rowOff>
    </xdr:from>
    <xdr:to>
      <xdr:col>3</xdr:col>
      <xdr:colOff>16695</xdr:colOff>
      <xdr:row>49</xdr:row>
      <xdr:rowOff>115506</xdr:rowOff>
    </xdr:to>
    <xdr:cxnSp macro="">
      <xdr:nvCxnSpPr>
        <xdr:cNvPr id="50" name="Lige pilforbindelse 8">
          <a:extLst>
            <a:ext uri="{FF2B5EF4-FFF2-40B4-BE49-F238E27FC236}">
              <a16:creationId xmlns:a16="http://schemas.microsoft.com/office/drawing/2014/main" id="{31EA94CE-74F2-4AC4-9AF2-1DED3393FECE}"/>
            </a:ext>
            <a:ext uri="{147F2762-F138-4A5C-976F-8EAC2B608ADB}">
              <a16:predDERef xmlns:a16="http://schemas.microsoft.com/office/drawing/2014/main" pred="{5FC45768-21BA-4DC3-9C78-A78C0EAD3EFB}"/>
            </a:ext>
          </a:extLst>
        </xdr:cNvPr>
        <xdr:cNvCxnSpPr/>
      </xdr:nvCxnSpPr>
      <xdr:spPr>
        <a:xfrm>
          <a:off x="2364036" y="10052892"/>
          <a:ext cx="211786" cy="747"/>
        </a:xfrm>
        <a:prstGeom prst="straightConnector1">
          <a:avLst/>
        </a:prstGeom>
        <a:ln>
          <a:solidFill>
            <a:srgbClr val="FF94FF"/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493464</xdr:colOff>
      <xdr:row>35</xdr:row>
      <xdr:rowOff>103284</xdr:rowOff>
    </xdr:from>
    <xdr:to>
      <xdr:col>2</xdr:col>
      <xdr:colOff>494688</xdr:colOff>
      <xdr:row>49</xdr:row>
      <xdr:rowOff>111850</xdr:rowOff>
    </xdr:to>
    <xdr:cxnSp macro="">
      <xdr:nvCxnSpPr>
        <xdr:cNvPr id="49" name="Lige forbindelse 103">
          <a:extLst>
            <a:ext uri="{FF2B5EF4-FFF2-40B4-BE49-F238E27FC236}">
              <a16:creationId xmlns:a16="http://schemas.microsoft.com/office/drawing/2014/main" id="{55D62AED-1E24-4121-95F3-F155434F3A57}"/>
            </a:ext>
            <a:ext uri="{147F2762-F138-4A5C-976F-8EAC2B608ADB}">
              <a16:predDERef xmlns:a16="http://schemas.microsoft.com/office/drawing/2014/main" pred="{7D351BFE-0364-48B7-B154-2E0209CC0715}"/>
            </a:ext>
          </a:extLst>
        </xdr:cNvPr>
        <xdr:cNvCxnSpPr/>
      </xdr:nvCxnSpPr>
      <xdr:spPr>
        <a:xfrm flipH="1" flipV="1">
          <a:off x="2375512" y="7310151"/>
          <a:ext cx="1224" cy="2739832"/>
        </a:xfrm>
        <a:prstGeom prst="line">
          <a:avLst/>
        </a:prstGeom>
        <a:ln>
          <a:solidFill>
            <a:srgbClr val="FF94FF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493465</xdr:colOff>
      <xdr:row>35</xdr:row>
      <xdr:rowOff>103284</xdr:rowOff>
    </xdr:from>
    <xdr:to>
      <xdr:col>3</xdr:col>
      <xdr:colOff>1124638</xdr:colOff>
      <xdr:row>35</xdr:row>
      <xdr:rowOff>114760</xdr:rowOff>
    </xdr:to>
    <xdr:cxnSp macro="">
      <xdr:nvCxnSpPr>
        <xdr:cNvPr id="51" name="Lige forbindelse 32">
          <a:extLst>
            <a:ext uri="{FF2B5EF4-FFF2-40B4-BE49-F238E27FC236}">
              <a16:creationId xmlns:a16="http://schemas.microsoft.com/office/drawing/2014/main" id="{CAA0077A-6935-4FB5-B86F-349BB5301B75}"/>
            </a:ext>
            <a:ext uri="{147F2762-F138-4A5C-976F-8EAC2B608ADB}">
              <a16:predDERef xmlns:a16="http://schemas.microsoft.com/office/drawing/2014/main" pred="{75EEC302-EE0F-4DBF-9286-DE69D2378474}"/>
            </a:ext>
          </a:extLst>
        </xdr:cNvPr>
        <xdr:cNvCxnSpPr/>
      </xdr:nvCxnSpPr>
      <xdr:spPr>
        <a:xfrm>
          <a:off x="2375513" y="7310151"/>
          <a:ext cx="1308252" cy="11476"/>
        </a:xfrm>
        <a:prstGeom prst="line">
          <a:avLst/>
        </a:prstGeom>
        <a:ln>
          <a:solidFill>
            <a:srgbClr val="FF94FF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28</xdr:row>
      <xdr:rowOff>103283</xdr:rowOff>
    </xdr:from>
    <xdr:to>
      <xdr:col>3</xdr:col>
      <xdr:colOff>941024</xdr:colOff>
      <xdr:row>28</xdr:row>
      <xdr:rowOff>103283</xdr:rowOff>
    </xdr:to>
    <xdr:cxnSp macro="">
      <xdr:nvCxnSpPr>
        <xdr:cNvPr id="138" name="Straight Connector 59">
          <a:extLst>
            <a:ext uri="{FF2B5EF4-FFF2-40B4-BE49-F238E27FC236}">
              <a16:creationId xmlns:a16="http://schemas.microsoft.com/office/drawing/2014/main" id="{88386428-93AA-47FC-B710-95E32CAF89B6}"/>
            </a:ext>
            <a:ext uri="{147F2762-F138-4A5C-976F-8EAC2B608ADB}">
              <a16:predDERef xmlns:a16="http://schemas.microsoft.com/office/drawing/2014/main" pred="{E22995D2-CDB8-B443-85F3-05EA04DBF333}"/>
            </a:ext>
          </a:extLst>
        </xdr:cNvPr>
        <xdr:cNvCxnSpPr>
          <a:cxnSpLocks/>
        </xdr:cNvCxnSpPr>
      </xdr:nvCxnSpPr>
      <xdr:spPr>
        <a:xfrm>
          <a:off x="1882049" y="5921566"/>
          <a:ext cx="1618102" cy="0"/>
        </a:xfrm>
        <a:prstGeom prst="line">
          <a:avLst/>
        </a:prstGeom>
        <a:ln>
          <a:solidFill>
            <a:srgbClr val="00B050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941024</xdr:colOff>
      <xdr:row>16</xdr:row>
      <xdr:rowOff>103283</xdr:rowOff>
    </xdr:from>
    <xdr:to>
      <xdr:col>3</xdr:col>
      <xdr:colOff>942248</xdr:colOff>
      <xdr:row>28</xdr:row>
      <xdr:rowOff>111851</xdr:rowOff>
    </xdr:to>
    <xdr:cxnSp macro="">
      <xdr:nvCxnSpPr>
        <xdr:cNvPr id="140" name="Lige forbindelse 103">
          <a:extLst>
            <a:ext uri="{FF2B5EF4-FFF2-40B4-BE49-F238E27FC236}">
              <a16:creationId xmlns:a16="http://schemas.microsoft.com/office/drawing/2014/main" id="{2B01B4B6-7003-4EC9-AACA-9CE9BA2479FB}"/>
            </a:ext>
            <a:ext uri="{147F2762-F138-4A5C-976F-8EAC2B608ADB}">
              <a16:predDERef xmlns:a16="http://schemas.microsoft.com/office/drawing/2014/main" pred="{7D351BFE-0364-48B7-B154-2E0209CC0715}"/>
            </a:ext>
          </a:extLst>
        </xdr:cNvPr>
        <xdr:cNvCxnSpPr/>
      </xdr:nvCxnSpPr>
      <xdr:spPr>
        <a:xfrm flipH="1" flipV="1">
          <a:off x="3500151" y="3580482"/>
          <a:ext cx="1224" cy="2349652"/>
        </a:xfrm>
        <a:prstGeom prst="line">
          <a:avLst/>
        </a:prstGeom>
        <a:ln>
          <a:solidFill>
            <a:srgbClr val="00B050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929548</xdr:colOff>
      <xdr:row>16</xdr:row>
      <xdr:rowOff>114759</xdr:rowOff>
    </xdr:from>
    <xdr:to>
      <xdr:col>5</xdr:col>
      <xdr:colOff>0</xdr:colOff>
      <xdr:row>16</xdr:row>
      <xdr:rowOff>114759</xdr:rowOff>
    </xdr:to>
    <xdr:cxnSp macro="">
      <xdr:nvCxnSpPr>
        <xdr:cNvPr id="143" name="Lige pilforbindelse 383">
          <a:extLst>
            <a:ext uri="{FF2B5EF4-FFF2-40B4-BE49-F238E27FC236}">
              <a16:creationId xmlns:a16="http://schemas.microsoft.com/office/drawing/2014/main" id="{9CD10460-94E8-4B49-8EB9-C3CA94077B3E}"/>
            </a:ext>
            <a:ext uri="{147F2762-F138-4A5C-976F-8EAC2B608ADB}">
              <a16:predDERef xmlns:a16="http://schemas.microsoft.com/office/drawing/2014/main" pred="{620BD0D0-D539-44FC-A303-938E4EEAA9B1}"/>
            </a:ext>
          </a:extLst>
        </xdr:cNvPr>
        <xdr:cNvCxnSpPr/>
      </xdr:nvCxnSpPr>
      <xdr:spPr>
        <a:xfrm>
          <a:off x="3488675" y="3591958"/>
          <a:ext cx="1985331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11476</xdr:colOff>
      <xdr:row>47</xdr:row>
      <xdr:rowOff>103283</xdr:rowOff>
    </xdr:from>
    <xdr:to>
      <xdr:col>1</xdr:col>
      <xdr:colOff>654126</xdr:colOff>
      <xdr:row>47</xdr:row>
      <xdr:rowOff>103283</xdr:rowOff>
    </xdr:to>
    <xdr:cxnSp macro="">
      <xdr:nvCxnSpPr>
        <xdr:cNvPr id="55" name="Lige pilforbindelse 8">
          <a:extLst>
            <a:ext uri="{FF2B5EF4-FFF2-40B4-BE49-F238E27FC236}">
              <a16:creationId xmlns:a16="http://schemas.microsoft.com/office/drawing/2014/main" id="{EDBD2DBB-B534-4FA4-A278-AD5E464C04B4}"/>
            </a:ext>
            <a:ext uri="{147F2762-F138-4A5C-976F-8EAC2B608ADB}">
              <a16:predDERef xmlns:a16="http://schemas.microsoft.com/office/drawing/2014/main" pred="{5FC45768-21BA-4DC3-9C78-A78C0EAD3EFB}"/>
            </a:ext>
          </a:extLst>
        </xdr:cNvPr>
        <xdr:cNvCxnSpPr/>
      </xdr:nvCxnSpPr>
      <xdr:spPr>
        <a:xfrm>
          <a:off x="1216446" y="9651235"/>
          <a:ext cx="642650" cy="0"/>
        </a:xfrm>
        <a:prstGeom prst="straightConnector1">
          <a:avLst/>
        </a:prstGeom>
        <a:ln>
          <a:solidFill>
            <a:srgbClr val="FF94FF"/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6154</xdr:colOff>
      <xdr:row>8</xdr:row>
      <xdr:rowOff>13719</xdr:rowOff>
    </xdr:from>
    <xdr:to>
      <xdr:col>15</xdr:col>
      <xdr:colOff>6154</xdr:colOff>
      <xdr:row>8</xdr:row>
      <xdr:rowOff>105302</xdr:rowOff>
    </xdr:to>
    <xdr:cxnSp macro="">
      <xdr:nvCxnSpPr>
        <xdr:cNvPr id="52" name="Lige pilforbindel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1807629" y="1709169"/>
          <a:ext cx="1676400" cy="91583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13511</xdr:colOff>
      <xdr:row>5</xdr:row>
      <xdr:rowOff>100791</xdr:rowOff>
    </xdr:from>
    <xdr:to>
      <xdr:col>10</xdr:col>
      <xdr:colOff>810638</xdr:colOff>
      <xdr:row>9</xdr:row>
      <xdr:rowOff>94575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77766" y="1222174"/>
          <a:ext cx="6566170" cy="804422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175638</xdr:colOff>
      <xdr:row>5</xdr:row>
      <xdr:rowOff>148617</xdr:rowOff>
    </xdr:from>
    <xdr:to>
      <xdr:col>10</xdr:col>
      <xdr:colOff>229681</xdr:colOff>
      <xdr:row>42</xdr:row>
      <xdr:rowOff>162127</xdr:rowOff>
    </xdr:to>
    <xdr:cxnSp macro="">
      <xdr:nvCxnSpPr>
        <xdr:cNvPr id="4" name="Lige forbindel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8808936" y="1270000"/>
          <a:ext cx="54043" cy="7565957"/>
        </a:xfrm>
        <a:prstGeom prst="line">
          <a:avLst/>
        </a:prstGeom>
        <a:ln w="28575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809827</xdr:colOff>
      <xdr:row>42</xdr:row>
      <xdr:rowOff>113489</xdr:rowOff>
    </xdr:from>
    <xdr:to>
      <xdr:col>10</xdr:col>
      <xdr:colOff>188878</xdr:colOff>
      <xdr:row>42</xdr:row>
      <xdr:rowOff>113489</xdr:rowOff>
    </xdr:to>
    <xdr:cxnSp macro="">
      <xdr:nvCxnSpPr>
        <xdr:cNvPr id="5" name="Lige 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618976" y="8787319"/>
          <a:ext cx="203200" cy="0"/>
        </a:xfrm>
        <a:prstGeom prst="line">
          <a:avLst/>
        </a:prstGeom>
        <a:ln w="28575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108085</xdr:rowOff>
    </xdr:from>
    <xdr:to>
      <xdr:col>10</xdr:col>
      <xdr:colOff>162128</xdr:colOff>
      <xdr:row>30</xdr:row>
      <xdr:rowOff>114300</xdr:rowOff>
    </xdr:to>
    <xdr:cxnSp macro="">
      <xdr:nvCxnSpPr>
        <xdr:cNvPr id="6" name="Lige forbindel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985000" y="6295957"/>
          <a:ext cx="1810426" cy="6215"/>
        </a:xfrm>
        <a:prstGeom prst="line">
          <a:avLst/>
        </a:prstGeom>
        <a:ln w="28575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13</xdr:row>
      <xdr:rowOff>114300</xdr:rowOff>
    </xdr:from>
    <xdr:to>
      <xdr:col>10</xdr:col>
      <xdr:colOff>202659</xdr:colOff>
      <xdr:row>13</xdr:row>
      <xdr:rowOff>121595</xdr:rowOff>
    </xdr:to>
    <xdr:cxnSp macro="">
      <xdr:nvCxnSpPr>
        <xdr:cNvPr id="7" name="Lige 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997700" y="2856960"/>
          <a:ext cx="1838257" cy="7295"/>
        </a:xfrm>
        <a:prstGeom prst="line">
          <a:avLst/>
        </a:prstGeom>
        <a:ln w="28575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</xdr:row>
      <xdr:rowOff>27021</xdr:rowOff>
    </xdr:from>
    <xdr:to>
      <xdr:col>14</xdr:col>
      <xdr:colOff>13511</xdr:colOff>
      <xdr:row>43</xdr:row>
      <xdr:rowOff>25401</xdr:rowOff>
    </xdr:to>
    <xdr:cxnSp macro="">
      <xdr:nvCxnSpPr>
        <xdr:cNvPr id="8" name="Lige forbindel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2458970" y="1756383"/>
          <a:ext cx="24860" cy="7172529"/>
        </a:xfrm>
        <a:prstGeom prst="line">
          <a:avLst/>
        </a:prstGeom>
        <a:ln w="28575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20</xdr:row>
      <xdr:rowOff>101600</xdr:rowOff>
    </xdr:from>
    <xdr:to>
      <xdr:col>15</xdr:col>
      <xdr:colOff>0</xdr:colOff>
      <xdr:row>20</xdr:row>
      <xdr:rowOff>101600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2547600" y="4673600"/>
          <a:ext cx="8382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812800</xdr:colOff>
      <xdr:row>43</xdr:row>
      <xdr:rowOff>12700</xdr:rowOff>
    </xdr:to>
    <xdr:cxnSp macro="">
      <xdr:nvCxnSpPr>
        <xdr:cNvPr id="10" name="Lige pilforbindel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2560300" y="9321800"/>
          <a:ext cx="812800" cy="127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391808</xdr:colOff>
      <xdr:row>14</xdr:row>
      <xdr:rowOff>0</xdr:rowOff>
    </xdr:from>
    <xdr:to>
      <xdr:col>11</xdr:col>
      <xdr:colOff>0</xdr:colOff>
      <xdr:row>14</xdr:row>
      <xdr:rowOff>0</xdr:rowOff>
    </xdr:to>
    <xdr:cxnSp macro="">
      <xdr:nvCxnSpPr>
        <xdr:cNvPr id="11" name="Lige pilforbindel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025106" y="2945319"/>
          <a:ext cx="432341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12700</xdr:rowOff>
    </xdr:from>
    <xdr:to>
      <xdr:col>14</xdr:col>
      <xdr:colOff>812800</xdr:colOff>
      <xdr:row>14</xdr:row>
      <xdr:rowOff>108085</xdr:rowOff>
    </xdr:to>
    <xdr:cxnSp macro="">
      <xdr:nvCxnSpPr>
        <xdr:cNvPr id="12" name="Lige pilforbindel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1646170" y="2958019"/>
          <a:ext cx="1636949" cy="9538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377757</xdr:colOff>
      <xdr:row>12</xdr:row>
      <xdr:rowOff>88089</xdr:rowOff>
    </xdr:from>
    <xdr:to>
      <xdr:col>10</xdr:col>
      <xdr:colOff>418830</xdr:colOff>
      <xdr:row>41</xdr:row>
      <xdr:rowOff>162128</xdr:rowOff>
    </xdr:to>
    <xdr:cxnSp macro="">
      <xdr:nvCxnSpPr>
        <xdr:cNvPr id="13" name="Lige forbindel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9011055" y="2628089"/>
          <a:ext cx="41073" cy="600520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812800</xdr:colOff>
      <xdr:row>20</xdr:row>
      <xdr:rowOff>101600</xdr:rowOff>
    </xdr:from>
    <xdr:to>
      <xdr:col>10</xdr:col>
      <xdr:colOff>405319</xdr:colOff>
      <xdr:row>20</xdr:row>
      <xdr:rowOff>108085</xdr:rowOff>
    </xdr:to>
    <xdr:cxnSp macro="">
      <xdr:nvCxnSpPr>
        <xdr:cNvPr id="14" name="Lige forbindel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973651" y="4262877"/>
          <a:ext cx="2064966" cy="648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812800</xdr:colOff>
      <xdr:row>41</xdr:row>
      <xdr:rowOff>139701</xdr:rowOff>
    </xdr:from>
    <xdr:to>
      <xdr:col>10</xdr:col>
      <xdr:colOff>418830</xdr:colOff>
      <xdr:row>41</xdr:row>
      <xdr:rowOff>148617</xdr:rowOff>
    </xdr:to>
    <xdr:cxnSp macro="">
      <xdr:nvCxnSpPr>
        <xdr:cNvPr id="15" name="Lige forbindel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8621949" y="8610871"/>
          <a:ext cx="430179" cy="891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29</xdr:row>
      <xdr:rowOff>108085</xdr:rowOff>
    </xdr:from>
    <xdr:to>
      <xdr:col>10</xdr:col>
      <xdr:colOff>378298</xdr:colOff>
      <xdr:row>29</xdr:row>
      <xdr:rowOff>114300</xdr:rowOff>
    </xdr:to>
    <xdr:cxnSp macro="">
      <xdr:nvCxnSpPr>
        <xdr:cNvPr id="16" name="Lige forbindels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6985000" y="6093298"/>
          <a:ext cx="2026596" cy="621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21</xdr:row>
      <xdr:rowOff>88900</xdr:rowOff>
    </xdr:from>
    <xdr:to>
      <xdr:col>3</xdr:col>
      <xdr:colOff>469900</xdr:colOff>
      <xdr:row>21</xdr:row>
      <xdr:rowOff>88900</xdr:rowOff>
    </xdr:to>
    <xdr:cxnSp macro="">
      <xdr:nvCxnSpPr>
        <xdr:cNvPr id="17" name="Lige forbindels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819400" y="4864100"/>
          <a:ext cx="457200" cy="0"/>
        </a:xfrm>
        <a:prstGeom prst="line">
          <a:avLst/>
        </a:prstGeom>
        <a:ln w="381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482600</xdr:colOff>
      <xdr:row>21</xdr:row>
      <xdr:rowOff>88900</xdr:rowOff>
    </xdr:from>
    <xdr:to>
      <xdr:col>3</xdr:col>
      <xdr:colOff>482600</xdr:colOff>
      <xdr:row>32</xdr:row>
      <xdr:rowOff>114300</xdr:rowOff>
    </xdr:to>
    <xdr:cxnSp macro="">
      <xdr:nvCxnSpPr>
        <xdr:cNvPr id="18" name="Lige forbindels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289300" y="4864100"/>
          <a:ext cx="0" cy="2273300"/>
        </a:xfrm>
        <a:prstGeom prst="line">
          <a:avLst/>
        </a:prstGeom>
        <a:ln w="381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482600</xdr:colOff>
      <xdr:row>32</xdr:row>
      <xdr:rowOff>114300</xdr:rowOff>
    </xdr:from>
    <xdr:to>
      <xdr:col>5</xdr:col>
      <xdr:colOff>812800</xdr:colOff>
      <xdr:row>32</xdr:row>
      <xdr:rowOff>114300</xdr:rowOff>
    </xdr:to>
    <xdr:cxnSp macro="">
      <xdr:nvCxnSpPr>
        <xdr:cNvPr id="19" name="Lige pilforbindel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289300" y="7137400"/>
          <a:ext cx="2120900" cy="0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127000</xdr:rowOff>
    </xdr:from>
    <xdr:to>
      <xdr:col>3</xdr:col>
      <xdr:colOff>342900</xdr:colOff>
      <xdr:row>22</xdr:row>
      <xdr:rowOff>127000</xdr:rowOff>
    </xdr:to>
    <xdr:cxnSp macro="">
      <xdr:nvCxnSpPr>
        <xdr:cNvPr id="20" name="Lige forbindels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806700" y="5105400"/>
          <a:ext cx="342900" cy="0"/>
        </a:xfrm>
        <a:prstGeom prst="line">
          <a:avLst/>
        </a:prstGeom>
        <a:ln w="381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317500</xdr:colOff>
      <xdr:row>22</xdr:row>
      <xdr:rowOff>127000</xdr:rowOff>
    </xdr:from>
    <xdr:to>
      <xdr:col>3</xdr:col>
      <xdr:colOff>355600</xdr:colOff>
      <xdr:row>42</xdr:row>
      <xdr:rowOff>139700</xdr:rowOff>
    </xdr:to>
    <xdr:cxnSp macro="">
      <xdr:nvCxnSpPr>
        <xdr:cNvPr id="21" name="Lige forbindels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3124200" y="5105400"/>
          <a:ext cx="38100" cy="4140200"/>
        </a:xfrm>
        <a:prstGeom prst="line">
          <a:avLst/>
        </a:prstGeom>
        <a:ln w="381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355600</xdr:colOff>
      <xdr:row>42</xdr:row>
      <xdr:rowOff>101600</xdr:rowOff>
    </xdr:from>
    <xdr:to>
      <xdr:col>5</xdr:col>
      <xdr:colOff>0</xdr:colOff>
      <xdr:row>42</xdr:row>
      <xdr:rowOff>101600</xdr:rowOff>
    </xdr:to>
    <xdr:cxnSp macro="">
      <xdr:nvCxnSpPr>
        <xdr:cNvPr id="22" name="Lige pilforbindel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162300" y="9207500"/>
          <a:ext cx="1435100" cy="0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812800</xdr:colOff>
      <xdr:row>14</xdr:row>
      <xdr:rowOff>101600</xdr:rowOff>
    </xdr:from>
    <xdr:to>
      <xdr:col>6</xdr:col>
      <xdr:colOff>0</xdr:colOff>
      <xdr:row>15</xdr:row>
      <xdr:rowOff>127000</xdr:rowOff>
    </xdr:to>
    <xdr:cxnSp macro="">
      <xdr:nvCxnSpPr>
        <xdr:cNvPr id="23" name="Vinklet forbindel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2794000" y="3454400"/>
          <a:ext cx="2628900" cy="228600"/>
        </a:xfrm>
        <a:prstGeom prst="bentConnector3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812800</xdr:colOff>
      <xdr:row>17</xdr:row>
      <xdr:rowOff>127000</xdr:rowOff>
    </xdr:from>
    <xdr:to>
      <xdr:col>6</xdr:col>
      <xdr:colOff>0</xdr:colOff>
      <xdr:row>22</xdr:row>
      <xdr:rowOff>114300</xdr:rowOff>
    </xdr:to>
    <xdr:cxnSp macro="">
      <xdr:nvCxnSpPr>
        <xdr:cNvPr id="24" name="Vinklet forbindel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94000" y="4089400"/>
          <a:ext cx="2628900" cy="1003300"/>
        </a:xfrm>
        <a:prstGeom prst="bentConnector3">
          <a:avLst>
            <a:gd name="adj1" fmla="val 47585"/>
          </a:avLst>
        </a:prstGeom>
        <a:ln w="28575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5</xdr:col>
      <xdr:colOff>812800</xdr:colOff>
      <xdr:row>21</xdr:row>
      <xdr:rowOff>139700</xdr:rowOff>
    </xdr:to>
    <xdr:cxnSp macro="">
      <xdr:nvCxnSpPr>
        <xdr:cNvPr id="25" name="Vinklet forbindel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806700" y="3873500"/>
          <a:ext cx="2603500" cy="1041400"/>
        </a:xfrm>
        <a:prstGeom prst="bentConnector3">
          <a:avLst>
            <a:gd name="adj1" fmla="val 57732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591225</xdr:colOff>
      <xdr:row>21</xdr:row>
      <xdr:rowOff>98358</xdr:rowOff>
    </xdr:from>
    <xdr:to>
      <xdr:col>4</xdr:col>
      <xdr:colOff>607979</xdr:colOff>
      <xdr:row>48</xdr:row>
      <xdr:rowOff>135106</xdr:rowOff>
    </xdr:to>
    <xdr:cxnSp macro="">
      <xdr:nvCxnSpPr>
        <xdr:cNvPr id="26" name="Lige forbindel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279629" y="4462294"/>
          <a:ext cx="16754" cy="5589621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526915</xdr:colOff>
      <xdr:row>48</xdr:row>
      <xdr:rowOff>50800</xdr:rowOff>
    </xdr:from>
    <xdr:to>
      <xdr:col>15</xdr:col>
      <xdr:colOff>0</xdr:colOff>
      <xdr:row>48</xdr:row>
      <xdr:rowOff>67553</xdr:rowOff>
    </xdr:to>
    <xdr:cxnSp macro="">
      <xdr:nvCxnSpPr>
        <xdr:cNvPr id="27" name="Lige pilforbindels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4215319" y="9967609"/>
          <a:ext cx="9079149" cy="1675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406400</xdr:colOff>
      <xdr:row>19</xdr:row>
      <xdr:rowOff>127000</xdr:rowOff>
    </xdr:from>
    <xdr:to>
      <xdr:col>14</xdr:col>
      <xdr:colOff>406400</xdr:colOff>
      <xdr:row>48</xdr:row>
      <xdr:rowOff>63500</xdr:rowOff>
    </xdr:to>
    <xdr:cxnSp macro="">
      <xdr:nvCxnSpPr>
        <xdr:cNvPr id="28" name="Lige forbindels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12966700" y="4495800"/>
          <a:ext cx="0" cy="590550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406400</xdr:colOff>
      <xdr:row>34</xdr:row>
      <xdr:rowOff>12700</xdr:rowOff>
    </xdr:from>
    <xdr:to>
      <xdr:col>14</xdr:col>
      <xdr:colOff>800100</xdr:colOff>
      <xdr:row>34</xdr:row>
      <xdr:rowOff>12700</xdr:rowOff>
    </xdr:to>
    <xdr:cxnSp macro="">
      <xdr:nvCxnSpPr>
        <xdr:cNvPr id="29" name="Lige pilforbindels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2966700" y="7454900"/>
          <a:ext cx="3937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406400</xdr:colOff>
      <xdr:row>19</xdr:row>
      <xdr:rowOff>127000</xdr:rowOff>
    </xdr:from>
    <xdr:to>
      <xdr:col>14</xdr:col>
      <xdr:colOff>800100</xdr:colOff>
      <xdr:row>19</xdr:row>
      <xdr:rowOff>127000</xdr:rowOff>
    </xdr:to>
    <xdr:cxnSp macro="">
      <xdr:nvCxnSpPr>
        <xdr:cNvPr id="30" name="Lige pilforbindels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2966700" y="4495800"/>
          <a:ext cx="3937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406400</xdr:colOff>
      <xdr:row>22</xdr:row>
      <xdr:rowOff>114300</xdr:rowOff>
    </xdr:from>
    <xdr:to>
      <xdr:col>4</xdr:col>
      <xdr:colOff>406400</xdr:colOff>
      <xdr:row>26</xdr:row>
      <xdr:rowOff>152400</xdr:rowOff>
    </xdr:to>
    <xdr:cxnSp macro="">
      <xdr:nvCxnSpPr>
        <xdr:cNvPr id="31" name="Lige forbindels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038600" y="5092700"/>
          <a:ext cx="0" cy="850900"/>
        </a:xfrm>
        <a:prstGeom prst="line">
          <a:avLst/>
        </a:prstGeom>
        <a:ln w="28575"/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393700</xdr:colOff>
      <xdr:row>26</xdr:row>
      <xdr:rowOff>127000</xdr:rowOff>
    </xdr:from>
    <xdr:to>
      <xdr:col>11</xdr:col>
      <xdr:colOff>0</xdr:colOff>
      <xdr:row>26</xdr:row>
      <xdr:rowOff>127000</xdr:rowOff>
    </xdr:to>
    <xdr:cxnSp macro="">
      <xdr:nvCxnSpPr>
        <xdr:cNvPr id="32" name="Lige pilforbindels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4025900" y="5918200"/>
          <a:ext cx="5829300" cy="0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101600</xdr:rowOff>
    </xdr:from>
    <xdr:to>
      <xdr:col>5</xdr:col>
      <xdr:colOff>495300</xdr:colOff>
      <xdr:row>12</xdr:row>
      <xdr:rowOff>101600</xdr:rowOff>
    </xdr:to>
    <xdr:cxnSp macro="">
      <xdr:nvCxnSpPr>
        <xdr:cNvPr id="33" name="Lige forbindels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806700" y="3048000"/>
          <a:ext cx="2286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482600</xdr:colOff>
      <xdr:row>12</xdr:row>
      <xdr:rowOff>101600</xdr:rowOff>
    </xdr:from>
    <xdr:to>
      <xdr:col>5</xdr:col>
      <xdr:colOff>482600</xdr:colOff>
      <xdr:row>18</xdr:row>
      <xdr:rowOff>12700</xdr:rowOff>
    </xdr:to>
    <xdr:cxnSp macro="">
      <xdr:nvCxnSpPr>
        <xdr:cNvPr id="34" name="Lige forbindels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5080000" y="3048000"/>
          <a:ext cx="0" cy="11303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482600</xdr:colOff>
      <xdr:row>18</xdr:row>
      <xdr:rowOff>0</xdr:rowOff>
    </xdr:from>
    <xdr:to>
      <xdr:col>10</xdr:col>
      <xdr:colOff>472872</xdr:colOff>
      <xdr:row>18</xdr:row>
      <xdr:rowOff>12700</xdr:rowOff>
    </xdr:to>
    <xdr:cxnSp macro="">
      <xdr:nvCxnSpPr>
        <xdr:cNvPr id="35" name="Lige forbindels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4995153" y="3755957"/>
          <a:ext cx="4111017" cy="127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812800</xdr:colOff>
      <xdr:row>12</xdr:row>
      <xdr:rowOff>114300</xdr:rowOff>
    </xdr:from>
    <xdr:to>
      <xdr:col>10</xdr:col>
      <xdr:colOff>391808</xdr:colOff>
      <xdr:row>12</xdr:row>
      <xdr:rowOff>121596</xdr:rowOff>
    </xdr:to>
    <xdr:cxnSp macro="">
      <xdr:nvCxnSpPr>
        <xdr:cNvPr id="36" name="Lige forbindels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973651" y="2654300"/>
          <a:ext cx="2051455" cy="72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23</xdr:row>
      <xdr:rowOff>114300</xdr:rowOff>
    </xdr:from>
    <xdr:to>
      <xdr:col>5</xdr:col>
      <xdr:colOff>800100</xdr:colOff>
      <xdr:row>33</xdr:row>
      <xdr:rowOff>101600</xdr:rowOff>
    </xdr:to>
    <xdr:cxnSp macro="">
      <xdr:nvCxnSpPr>
        <xdr:cNvPr id="37" name="Vinklet forbindels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2819400" y="5295900"/>
          <a:ext cx="2578100" cy="2044700"/>
        </a:xfrm>
        <a:prstGeom prst="bentConnector3">
          <a:avLst>
            <a:gd name="adj1" fmla="val 40625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127000</xdr:rowOff>
    </xdr:from>
    <xdr:to>
      <xdr:col>6</xdr:col>
      <xdr:colOff>0</xdr:colOff>
      <xdr:row>24</xdr:row>
      <xdr:rowOff>127000</xdr:rowOff>
    </xdr:to>
    <xdr:cxnSp macro="">
      <xdr:nvCxnSpPr>
        <xdr:cNvPr id="38" name="Vinklet forbindels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2806700" y="3683000"/>
          <a:ext cx="2616200" cy="1828800"/>
        </a:xfrm>
        <a:prstGeom prst="bentConnector3">
          <a:avLst>
            <a:gd name="adj1" fmla="val 77692"/>
          </a:avLst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13511</xdr:colOff>
      <xdr:row>26</xdr:row>
      <xdr:rowOff>0</xdr:rowOff>
    </xdr:from>
    <xdr:to>
      <xdr:col>15</xdr:col>
      <xdr:colOff>0</xdr:colOff>
      <xdr:row>28</xdr:row>
      <xdr:rowOff>81064</xdr:rowOff>
    </xdr:to>
    <xdr:cxnSp macro="">
      <xdr:nvCxnSpPr>
        <xdr:cNvPr id="39" name="Lige pilforbindels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1659681" y="5377234"/>
          <a:ext cx="1634787" cy="486383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444500</xdr:colOff>
      <xdr:row>24</xdr:row>
      <xdr:rowOff>152400</xdr:rowOff>
    </xdr:from>
    <xdr:to>
      <xdr:col>10</xdr:col>
      <xdr:colOff>342900</xdr:colOff>
      <xdr:row>24</xdr:row>
      <xdr:rowOff>152400</xdr:rowOff>
    </xdr:to>
    <xdr:cxnSp macro="">
      <xdr:nvCxnSpPr>
        <xdr:cNvPr id="40" name="Lige forbindels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965700" y="5130800"/>
          <a:ext cx="4025900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21</xdr:row>
      <xdr:rowOff>114300</xdr:rowOff>
    </xdr:from>
    <xdr:to>
      <xdr:col>10</xdr:col>
      <xdr:colOff>317500</xdr:colOff>
      <xdr:row>24</xdr:row>
      <xdr:rowOff>152400</xdr:rowOff>
    </xdr:to>
    <xdr:cxnSp macro="">
      <xdr:nvCxnSpPr>
        <xdr:cNvPr id="41" name="Lige forbindels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9347200" y="4889500"/>
          <a:ext cx="0" cy="64770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21</xdr:row>
      <xdr:rowOff>127000</xdr:rowOff>
    </xdr:from>
    <xdr:to>
      <xdr:col>15</xdr:col>
      <xdr:colOff>0</xdr:colOff>
      <xdr:row>21</xdr:row>
      <xdr:rowOff>139700</xdr:rowOff>
    </xdr:to>
    <xdr:cxnSp macro="">
      <xdr:nvCxnSpPr>
        <xdr:cNvPr id="42" name="Lige pilforbindels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9347200" y="4902200"/>
          <a:ext cx="4038600" cy="1270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54043</xdr:rowOff>
    </xdr:from>
    <xdr:to>
      <xdr:col>9</xdr:col>
      <xdr:colOff>364787</xdr:colOff>
      <xdr:row>4</xdr:row>
      <xdr:rowOff>127000</xdr:rowOff>
    </xdr:to>
    <xdr:cxnSp macro="">
      <xdr:nvCxnSpPr>
        <xdr:cNvPr id="43" name="Lige forbindels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2864255" y="972766"/>
          <a:ext cx="5309681" cy="72957"/>
        </a:xfrm>
        <a:prstGeom prst="line">
          <a:avLst/>
        </a:prstGeom>
        <a:ln w="28575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431801</xdr:colOff>
      <xdr:row>4</xdr:row>
      <xdr:rowOff>40532</xdr:rowOff>
    </xdr:from>
    <xdr:to>
      <xdr:col>9</xdr:col>
      <xdr:colOff>432340</xdr:colOff>
      <xdr:row>6</xdr:row>
      <xdr:rowOff>127810</xdr:rowOff>
    </xdr:to>
    <xdr:cxnSp macro="">
      <xdr:nvCxnSpPr>
        <xdr:cNvPr id="44" name="Lige forbindels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8240950" y="959255"/>
          <a:ext cx="539" cy="492598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430989</xdr:colOff>
      <xdr:row>6</xdr:row>
      <xdr:rowOff>115111</xdr:rowOff>
    </xdr:from>
    <xdr:to>
      <xdr:col>10</xdr:col>
      <xdr:colOff>786589</xdr:colOff>
      <xdr:row>6</xdr:row>
      <xdr:rowOff>115111</xdr:rowOff>
    </xdr:to>
    <xdr:cxnSp macro="">
      <xdr:nvCxnSpPr>
        <xdr:cNvPr id="45" name="Lige pilforbindels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8240138" y="1439154"/>
          <a:ext cx="1179749" cy="0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810638</xdr:colOff>
      <xdr:row>43</xdr:row>
      <xdr:rowOff>94574</xdr:rowOff>
    </xdr:from>
    <xdr:to>
      <xdr:col>10</xdr:col>
      <xdr:colOff>567447</xdr:colOff>
      <xdr:row>43</xdr:row>
      <xdr:rowOff>100789</xdr:rowOff>
    </xdr:to>
    <xdr:cxnSp macro="">
      <xdr:nvCxnSpPr>
        <xdr:cNvPr id="46" name="Lige forbindels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8619787" y="8984574"/>
          <a:ext cx="580958" cy="6215"/>
        </a:xfrm>
        <a:prstGeom prst="lin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540426</xdr:colOff>
      <xdr:row>25</xdr:row>
      <xdr:rowOff>121596</xdr:rowOff>
    </xdr:from>
    <xdr:to>
      <xdr:col>10</xdr:col>
      <xdr:colOff>567447</xdr:colOff>
      <xdr:row>43</xdr:row>
      <xdr:rowOff>94574</xdr:rowOff>
    </xdr:to>
    <xdr:cxnSp macro="">
      <xdr:nvCxnSpPr>
        <xdr:cNvPr id="47" name="Lige forbindels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V="1">
          <a:off x="9173724" y="5296170"/>
          <a:ext cx="27021" cy="3688404"/>
        </a:xfrm>
        <a:prstGeom prst="lin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567447</xdr:colOff>
      <xdr:row>25</xdr:row>
      <xdr:rowOff>101600</xdr:rowOff>
    </xdr:from>
    <xdr:to>
      <xdr:col>10</xdr:col>
      <xdr:colOff>812800</xdr:colOff>
      <xdr:row>25</xdr:row>
      <xdr:rowOff>121596</xdr:rowOff>
    </xdr:to>
    <xdr:cxnSp macro="">
      <xdr:nvCxnSpPr>
        <xdr:cNvPr id="48" name="Lige pilforbindels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9200745" y="5276174"/>
          <a:ext cx="245353" cy="19996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23</xdr:row>
      <xdr:rowOff>76200</xdr:rowOff>
    </xdr:from>
    <xdr:to>
      <xdr:col>5</xdr:col>
      <xdr:colOff>457200</xdr:colOff>
      <xdr:row>24</xdr:row>
      <xdr:rowOff>152400</xdr:rowOff>
    </xdr:to>
    <xdr:cxnSp macro="">
      <xdr:nvCxnSpPr>
        <xdr:cNvPr id="50" name="Lige forbindel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978400" y="4851400"/>
          <a:ext cx="0" cy="27940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</xdr:colOff>
      <xdr:row>23</xdr:row>
      <xdr:rowOff>114300</xdr:rowOff>
    </xdr:from>
    <xdr:to>
      <xdr:col>5</xdr:col>
      <xdr:colOff>469900</xdr:colOff>
      <xdr:row>23</xdr:row>
      <xdr:rowOff>127000</xdr:rowOff>
    </xdr:to>
    <xdr:cxnSp macro="">
      <xdr:nvCxnSpPr>
        <xdr:cNvPr id="55" name="Lige forbindels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2895600" y="4889500"/>
          <a:ext cx="2095500" cy="1270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40</xdr:row>
      <xdr:rowOff>121597</xdr:rowOff>
    </xdr:from>
    <xdr:to>
      <xdr:col>7</xdr:col>
      <xdr:colOff>810638</xdr:colOff>
      <xdr:row>41</xdr:row>
      <xdr:rowOff>114300</xdr:rowOff>
    </xdr:to>
    <xdr:cxnSp macro="">
      <xdr:nvCxnSpPr>
        <xdr:cNvPr id="56" name="Lige forbindelse 55">
          <a:extLst>
            <a:ext uri="{FF2B5EF4-FFF2-40B4-BE49-F238E27FC236}">
              <a16:creationId xmlns:a16="http://schemas.microsoft.com/office/drawing/2014/main" id="{88F0CB1F-1521-604A-8213-106E81EC9ED6}"/>
            </a:ext>
          </a:extLst>
        </xdr:cNvPr>
        <xdr:cNvCxnSpPr/>
      </xdr:nvCxnSpPr>
      <xdr:spPr>
        <a:xfrm flipV="1">
          <a:off x="7048500" y="8246422"/>
          <a:ext cx="801113" cy="202253"/>
        </a:xfrm>
        <a:prstGeom prst="lin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B232-4F18-40C2-AECC-DA3D1DB69F73}">
  <dimension ref="A1:AA143"/>
  <sheetViews>
    <sheetView tabSelected="1" topLeftCell="A28" zoomScale="90" zoomScaleNormal="70" workbookViewId="0">
      <selection activeCell="K64" sqref="K64"/>
    </sheetView>
  </sheetViews>
  <sheetFormatPr defaultColWidth="8.875" defaultRowHeight="15.75" x14ac:dyDescent="0.25"/>
  <cols>
    <col min="1" max="1" width="15.875" customWidth="1"/>
    <col min="4" max="4" width="22.625" customWidth="1"/>
    <col min="5" max="5" width="15.625" customWidth="1"/>
    <col min="6" max="6" width="18.625" customWidth="1"/>
    <col min="7" max="7" width="14.5" customWidth="1"/>
    <col min="8" max="8" width="16.125" customWidth="1"/>
    <col min="10" max="10" width="11.625" customWidth="1"/>
    <col min="11" max="11" width="16.875" customWidth="1"/>
    <col min="12" max="12" width="10.125" customWidth="1"/>
    <col min="15" max="15" width="25.125" customWidth="1"/>
    <col min="16" max="16" width="15.375" customWidth="1"/>
    <col min="17" max="17" width="14" customWidth="1"/>
    <col min="18" max="18" width="20.5" customWidth="1"/>
    <col min="19" max="19" width="17.125" customWidth="1"/>
    <col min="20" max="20" width="15.625" customWidth="1"/>
  </cols>
  <sheetData>
    <row r="1" spans="1:27" s="105" customFormat="1" ht="36" x14ac:dyDescent="0.55000000000000004">
      <c r="A1" s="121" t="s">
        <v>0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</row>
    <row r="2" spans="1:27" s="105" customFormat="1" ht="18" thickBot="1" x14ac:dyDescent="0.35">
      <c r="A2" s="122" t="s">
        <v>1</v>
      </c>
      <c r="B2" s="123"/>
      <c r="G2" s="123"/>
      <c r="P2" s="92"/>
      <c r="R2" s="196"/>
      <c r="S2" s="186"/>
      <c r="T2" s="186"/>
      <c r="U2" s="186"/>
      <c r="V2" s="186"/>
      <c r="W2" s="186"/>
      <c r="X2" s="186"/>
      <c r="Y2" s="186"/>
      <c r="Z2" s="186"/>
      <c r="AA2" s="200"/>
    </row>
    <row r="3" spans="1:27" s="105" customFormat="1" ht="18.75" thickTop="1" thickBot="1" x14ac:dyDescent="0.35">
      <c r="A3" s="122"/>
      <c r="B3" s="123"/>
      <c r="G3" s="123"/>
      <c r="P3" s="92"/>
      <c r="R3" s="196"/>
      <c r="S3" s="187" t="s">
        <v>106</v>
      </c>
      <c r="T3" s="187"/>
      <c r="U3" s="187"/>
      <c r="V3" s="188"/>
      <c r="W3" s="188"/>
      <c r="X3" s="188"/>
      <c r="Y3" s="188"/>
      <c r="Z3" s="189"/>
      <c r="AA3" s="190"/>
    </row>
    <row r="4" spans="1:27" s="105" customFormat="1" ht="16.5" thickTop="1" x14ac:dyDescent="0.25">
      <c r="A4" s="124" t="s">
        <v>2</v>
      </c>
      <c r="B4" s="125"/>
      <c r="C4" s="124"/>
      <c r="D4" s="124"/>
      <c r="E4" s="124"/>
      <c r="F4" s="124"/>
      <c r="G4" s="125"/>
      <c r="H4" s="124" t="s">
        <v>3</v>
      </c>
      <c r="I4" s="124"/>
      <c r="J4" s="124"/>
      <c r="K4" s="124"/>
      <c r="L4" s="124"/>
      <c r="M4" s="124"/>
      <c r="N4" s="124"/>
      <c r="O4" s="124" t="s">
        <v>4</v>
      </c>
      <c r="P4" s="126"/>
      <c r="Q4" s="126"/>
      <c r="R4" s="197"/>
      <c r="S4" s="187" t="s">
        <v>107</v>
      </c>
      <c r="T4" s="187" t="s">
        <v>143</v>
      </c>
      <c r="U4" s="187" t="s">
        <v>109</v>
      </c>
      <c r="V4" s="186"/>
      <c r="W4" s="186"/>
      <c r="X4" s="186"/>
      <c r="Y4" s="191"/>
      <c r="Z4" s="190"/>
      <c r="AA4" s="190"/>
    </row>
    <row r="5" spans="1:27" s="105" customFormat="1" x14ac:dyDescent="0.25">
      <c r="A5" s="127" t="s">
        <v>5</v>
      </c>
      <c r="B5" s="123"/>
      <c r="G5" s="123"/>
      <c r="P5" s="92"/>
      <c r="Q5" s="34"/>
      <c r="R5" s="196"/>
      <c r="S5" s="187" t="s">
        <v>145</v>
      </c>
      <c r="T5" s="187">
        <v>0</v>
      </c>
      <c r="U5" s="187">
        <f>T5*G16</f>
        <v>0</v>
      </c>
      <c r="V5" s="186"/>
      <c r="W5" s="186"/>
      <c r="X5" s="186"/>
      <c r="Y5" s="191"/>
      <c r="Z5" s="190"/>
      <c r="AA5" s="190"/>
    </row>
    <row r="6" spans="1:27" s="105" customFormat="1" x14ac:dyDescent="0.25">
      <c r="A6" s="127"/>
      <c r="B6" s="123"/>
      <c r="G6" s="123"/>
      <c r="N6" s="92"/>
      <c r="Q6" s="34"/>
      <c r="R6" s="196"/>
      <c r="S6" s="187" t="s">
        <v>27</v>
      </c>
      <c r="T6" s="187">
        <v>0</v>
      </c>
      <c r="U6" s="187">
        <f>T6*(G15+G32)</f>
        <v>0</v>
      </c>
      <c r="V6" s="186"/>
      <c r="W6" s="186"/>
      <c r="X6" s="186"/>
      <c r="Y6" s="191"/>
      <c r="Z6" s="190"/>
      <c r="AA6" s="190"/>
    </row>
    <row r="7" spans="1:27" s="105" customFormat="1" x14ac:dyDescent="0.25">
      <c r="A7" s="59" t="s">
        <v>6</v>
      </c>
      <c r="B7" s="45">
        <v>0</v>
      </c>
      <c r="G7" s="123"/>
      <c r="K7" s="94" t="s">
        <v>7</v>
      </c>
      <c r="L7" s="109"/>
      <c r="Q7" s="78"/>
      <c r="R7" s="196"/>
      <c r="S7" s="203" t="s">
        <v>110</v>
      </c>
      <c r="T7" s="187">
        <v>0.34</v>
      </c>
      <c r="U7" s="187">
        <v>0</v>
      </c>
      <c r="V7" s="186"/>
      <c r="W7" s="186"/>
      <c r="X7" s="186"/>
      <c r="Y7" s="191"/>
      <c r="Z7" s="190"/>
      <c r="AA7" s="190"/>
    </row>
    <row r="8" spans="1:27" s="105" customFormat="1" x14ac:dyDescent="0.25">
      <c r="B8" s="123"/>
      <c r="G8" s="123"/>
      <c r="K8" s="88" t="s">
        <v>8</v>
      </c>
      <c r="L8" s="89">
        <f>G16+G33+B12+B7</f>
        <v>3198.595234180958</v>
      </c>
      <c r="M8" s="92"/>
      <c r="N8" s="92"/>
      <c r="O8" s="92"/>
      <c r="P8" s="92"/>
      <c r="R8" s="198"/>
      <c r="S8" s="203" t="s">
        <v>111</v>
      </c>
      <c r="T8" s="187">
        <v>0.26700000000000002</v>
      </c>
      <c r="U8" s="187">
        <v>0</v>
      </c>
      <c r="V8" s="186"/>
      <c r="W8" s="186" t="s">
        <v>112</v>
      </c>
      <c r="X8" s="186">
        <f>U5+U6+U7+U8+U9+U10+U11</f>
        <v>0</v>
      </c>
      <c r="Y8" s="190" t="s">
        <v>143</v>
      </c>
      <c r="Z8" s="190"/>
      <c r="AA8" s="190"/>
    </row>
    <row r="9" spans="1:27" s="105" customFormat="1" x14ac:dyDescent="0.25">
      <c r="A9" s="94" t="s">
        <v>9</v>
      </c>
      <c r="B9" s="114"/>
      <c r="G9" s="123"/>
      <c r="K9" s="84" t="s">
        <v>10</v>
      </c>
      <c r="L9" s="90">
        <f>B7</f>
        <v>0</v>
      </c>
      <c r="M9" s="92"/>
      <c r="N9" s="92"/>
      <c r="O9" s="95" t="s">
        <v>11</v>
      </c>
      <c r="P9" s="128"/>
      <c r="R9" s="198"/>
      <c r="S9" s="203" t="s">
        <v>76</v>
      </c>
      <c r="T9" s="187">
        <v>0.20399999999999999</v>
      </c>
      <c r="U9" s="187">
        <v>0</v>
      </c>
      <c r="V9" s="186"/>
      <c r="W9" s="186" t="s">
        <v>114</v>
      </c>
      <c r="X9" s="186">
        <f>X8*(24*364.25)/1000</f>
        <v>0</v>
      </c>
      <c r="Y9" s="190" t="s">
        <v>144</v>
      </c>
      <c r="Z9" s="190"/>
      <c r="AA9" s="190"/>
    </row>
    <row r="10" spans="1:27" s="105" customFormat="1" x14ac:dyDescent="0.25">
      <c r="A10" s="79" t="s">
        <v>12</v>
      </c>
      <c r="B10" s="129">
        <v>40</v>
      </c>
      <c r="G10" s="123"/>
      <c r="K10" s="88" t="s">
        <v>13</v>
      </c>
      <c r="L10" s="91">
        <f>L8*0.05</f>
        <v>159.92976170904791</v>
      </c>
      <c r="M10" s="92"/>
      <c r="N10" s="92"/>
      <c r="O10" s="86" t="s">
        <v>14</v>
      </c>
      <c r="P10" s="89">
        <v>465.065</v>
      </c>
      <c r="Q10" s="78"/>
      <c r="R10" s="198"/>
      <c r="S10" s="187" t="s">
        <v>47</v>
      </c>
      <c r="T10" s="187">
        <v>0</v>
      </c>
      <c r="U10" s="187">
        <f>T10*L32</f>
        <v>0</v>
      </c>
      <c r="V10" s="186"/>
      <c r="W10" s="186"/>
      <c r="X10" s="186"/>
      <c r="Y10" s="191"/>
      <c r="Z10" s="190"/>
      <c r="AA10" s="190"/>
    </row>
    <row r="11" spans="1:27" s="105" customFormat="1" x14ac:dyDescent="0.25">
      <c r="A11" s="79" t="s">
        <v>15</v>
      </c>
      <c r="B11" s="96">
        <v>1118</v>
      </c>
      <c r="G11" s="123"/>
      <c r="H11" s="105">
        <f>1500+750</f>
        <v>2250</v>
      </c>
      <c r="K11" s="88" t="s">
        <v>16</v>
      </c>
      <c r="L11" s="89">
        <f>P13+P22+P23+P48+R36+R37+R40+G24+P24+L10</f>
        <v>3197.8369702675222</v>
      </c>
      <c r="M11" s="92"/>
      <c r="N11" s="92"/>
      <c r="O11" s="86" t="s">
        <v>17</v>
      </c>
      <c r="P11" s="89">
        <v>1201.2629999999999</v>
      </c>
      <c r="Q11" s="78"/>
      <c r="R11" s="198"/>
      <c r="S11" s="187" t="s">
        <v>146</v>
      </c>
      <c r="T11" s="187">
        <v>0</v>
      </c>
      <c r="U11" s="187">
        <f>T11*G35</f>
        <v>0</v>
      </c>
      <c r="V11" s="186"/>
      <c r="W11" s="186"/>
      <c r="X11" s="186"/>
      <c r="Y11" s="191"/>
      <c r="Z11" s="190"/>
      <c r="AA11" s="190"/>
    </row>
    <row r="12" spans="1:27" s="105" customFormat="1" x14ac:dyDescent="0.25">
      <c r="A12" s="23" t="s">
        <v>18</v>
      </c>
      <c r="B12" s="130">
        <f>SUM(B10:B11)</f>
        <v>1158</v>
      </c>
      <c r="G12" s="123"/>
      <c r="K12" s="84" t="s">
        <v>19</v>
      </c>
      <c r="L12" s="99">
        <f>B12/L8</f>
        <v>0.36203392902775988</v>
      </c>
      <c r="N12" s="92"/>
      <c r="O12" s="86" t="s">
        <v>20</v>
      </c>
      <c r="P12" s="89">
        <v>662.54200000000003</v>
      </c>
      <c r="Q12" s="78"/>
      <c r="R12" s="198"/>
      <c r="S12" s="187" t="s">
        <v>116</v>
      </c>
      <c r="T12" s="187">
        <v>0</v>
      </c>
      <c r="U12" s="187">
        <v>0</v>
      </c>
      <c r="V12" s="192"/>
      <c r="W12" s="192"/>
      <c r="X12" s="192"/>
      <c r="Y12" s="192"/>
      <c r="Z12" s="193"/>
      <c r="AA12" s="190"/>
    </row>
    <row r="13" spans="1:27" s="105" customFormat="1" x14ac:dyDescent="0.25">
      <c r="B13" s="123"/>
      <c r="G13" s="123"/>
      <c r="K13" s="92"/>
      <c r="L13" s="92"/>
      <c r="M13" s="92"/>
      <c r="N13" s="92"/>
      <c r="O13" s="131" t="s">
        <v>18</v>
      </c>
      <c r="P13" s="87">
        <f>SUM(P10:P12)</f>
        <v>2328.87</v>
      </c>
      <c r="Q13" s="132">
        <v>0</v>
      </c>
      <c r="R13" s="199" t="s">
        <v>21</v>
      </c>
      <c r="S13" s="194"/>
      <c r="T13" s="186"/>
      <c r="U13" s="186"/>
      <c r="V13" s="186"/>
      <c r="W13" s="186"/>
      <c r="X13" s="186"/>
      <c r="Y13" s="186"/>
      <c r="Z13" s="186"/>
      <c r="AA13" s="190"/>
    </row>
    <row r="14" spans="1:27" s="105" customFormat="1" x14ac:dyDescent="0.25">
      <c r="A14" s="94" t="s">
        <v>22</v>
      </c>
      <c r="B14" s="114"/>
      <c r="F14" s="94" t="s">
        <v>23</v>
      </c>
      <c r="G14" s="114"/>
      <c r="K14" s="92"/>
      <c r="L14" s="92"/>
      <c r="M14" s="92"/>
      <c r="N14" s="92"/>
      <c r="O14" s="92"/>
      <c r="P14" s="92"/>
      <c r="Q14" s="78"/>
      <c r="R14" s="201"/>
      <c r="S14" s="201"/>
      <c r="T14" s="202"/>
      <c r="U14" s="202"/>
      <c r="V14" s="202"/>
      <c r="W14" s="202"/>
      <c r="X14" s="202"/>
      <c r="Y14" s="202"/>
      <c r="Z14" s="202"/>
      <c r="AA14" s="202"/>
    </row>
    <row r="15" spans="1:27" s="105" customFormat="1" x14ac:dyDescent="0.25">
      <c r="A15" s="133" t="s">
        <v>24</v>
      </c>
      <c r="B15" s="130">
        <v>40</v>
      </c>
      <c r="F15" s="80" t="s">
        <v>25</v>
      </c>
      <c r="G15" s="96">
        <f>G19*0.44</f>
        <v>1042.0913424009464</v>
      </c>
      <c r="K15" s="95" t="s">
        <v>26</v>
      </c>
      <c r="L15" s="93"/>
      <c r="M15" s="92"/>
      <c r="N15" s="92"/>
      <c r="O15" s="95" t="s">
        <v>27</v>
      </c>
      <c r="P15" s="128"/>
      <c r="Q15" s="78"/>
      <c r="R15" s="78"/>
      <c r="S15" s="92"/>
    </row>
    <row r="16" spans="1:27" s="105" customFormat="1" x14ac:dyDescent="0.25">
      <c r="B16" s="123"/>
      <c r="F16" s="23" t="s">
        <v>28</v>
      </c>
      <c r="G16" s="106">
        <f>G19*0.43</f>
        <v>1018.4074482554702</v>
      </c>
      <c r="K16" s="88" t="s">
        <v>8</v>
      </c>
      <c r="L16" s="89">
        <f>G15+G23+G32+B15</f>
        <v>4909.2</v>
      </c>
      <c r="M16" s="92"/>
      <c r="N16" s="92"/>
      <c r="O16" s="86" t="s">
        <v>14</v>
      </c>
      <c r="P16" s="89">
        <v>311</v>
      </c>
      <c r="Q16" s="78"/>
      <c r="R16" s="78"/>
      <c r="S16" s="92"/>
    </row>
    <row r="17" spans="1:22" s="105" customFormat="1" x14ac:dyDescent="0.25">
      <c r="A17" s="103"/>
      <c r="B17" s="102"/>
      <c r="F17" s="79" t="s">
        <v>29</v>
      </c>
      <c r="G17" s="96">
        <f>B29</f>
        <v>750</v>
      </c>
      <c r="H17" s="123"/>
      <c r="K17" s="84" t="s">
        <v>4</v>
      </c>
      <c r="L17" s="90">
        <f>P19+L18</f>
        <v>4909.2</v>
      </c>
      <c r="M17" s="92"/>
      <c r="N17" s="92"/>
      <c r="O17" s="86" t="s">
        <v>17</v>
      </c>
      <c r="P17" s="89">
        <v>1033</v>
      </c>
      <c r="Q17" s="78"/>
      <c r="R17" s="78"/>
      <c r="S17" s="92"/>
    </row>
    <row r="18" spans="1:22" s="105" customFormat="1" x14ac:dyDescent="0.25">
      <c r="A18" s="104"/>
      <c r="B18" s="102"/>
      <c r="F18" s="80" t="s">
        <v>30</v>
      </c>
      <c r="G18" s="96">
        <f>B27</f>
        <v>1500</v>
      </c>
      <c r="K18" s="85" t="s">
        <v>31</v>
      </c>
      <c r="L18" s="118">
        <f>P19*0.2</f>
        <v>818.2</v>
      </c>
      <c r="M18" s="92"/>
      <c r="N18" s="92"/>
      <c r="O18" s="86" t="s">
        <v>20</v>
      </c>
      <c r="P18" s="89">
        <v>2747</v>
      </c>
      <c r="Q18" s="78"/>
      <c r="R18" s="78"/>
      <c r="S18" s="92"/>
    </row>
    <row r="19" spans="1:22" s="105" customFormat="1" x14ac:dyDescent="0.25">
      <c r="A19" s="104"/>
      <c r="B19" s="102"/>
      <c r="F19" s="59" t="s">
        <v>32</v>
      </c>
      <c r="G19" s="45">
        <f>SUM(G17+G18+E53)</f>
        <v>2368.3894145476052</v>
      </c>
      <c r="H19" s="134">
        <f>G19-(G16+G15)</f>
        <v>307.89062389118862</v>
      </c>
      <c r="I19" s="135" t="s">
        <v>21</v>
      </c>
      <c r="K19" s="78"/>
      <c r="L19" s="78"/>
      <c r="M19" s="92"/>
      <c r="N19" s="92"/>
      <c r="O19" s="136" t="s">
        <v>18</v>
      </c>
      <c r="P19" s="87">
        <f>SUM(P16:P18)</f>
        <v>4091</v>
      </c>
      <c r="Q19" s="92"/>
      <c r="R19" s="92"/>
      <c r="S19" s="92"/>
    </row>
    <row r="20" spans="1:22" s="105" customFormat="1" x14ac:dyDescent="0.25">
      <c r="A20" s="104"/>
      <c r="B20" s="102"/>
      <c r="G20" s="123"/>
      <c r="L20" s="92"/>
      <c r="M20" s="92"/>
      <c r="N20" s="92"/>
      <c r="O20" s="92"/>
      <c r="P20" s="92"/>
      <c r="Q20" s="78"/>
      <c r="R20" s="78"/>
      <c r="S20" s="92"/>
    </row>
    <row r="21" spans="1:22" s="105" customFormat="1" x14ac:dyDescent="0.25">
      <c r="A21" s="34"/>
      <c r="G21" s="123"/>
      <c r="K21" s="92"/>
      <c r="L21" s="92"/>
      <c r="M21" s="92"/>
      <c r="N21" s="92"/>
      <c r="O21" s="95" t="s">
        <v>33</v>
      </c>
      <c r="P21" s="137" t="s">
        <v>147</v>
      </c>
      <c r="Q21" s="138" t="s">
        <v>35</v>
      </c>
      <c r="R21" s="139"/>
      <c r="S21" s="92"/>
    </row>
    <row r="22" spans="1:22" s="105" customFormat="1" x14ac:dyDescent="0.25">
      <c r="B22" s="123"/>
      <c r="F22" s="94" t="s">
        <v>36</v>
      </c>
      <c r="G22" s="109"/>
      <c r="K22" s="92"/>
      <c r="L22" s="92"/>
      <c r="M22" s="92"/>
      <c r="N22" s="92"/>
      <c r="O22" s="86" t="s">
        <v>37</v>
      </c>
      <c r="P22" s="92">
        <f>(V22+U22)</f>
        <v>6.930891428571428</v>
      </c>
      <c r="Q22" s="89">
        <v>19.562999999999999</v>
      </c>
      <c r="R22" s="78"/>
      <c r="S22" s="92" t="s">
        <v>38</v>
      </c>
      <c r="U22" s="105">
        <f>Q22*0.4/3.5</f>
        <v>2.2357714285714283</v>
      </c>
      <c r="V22" s="105">
        <f>Q22*0.6/2.5</f>
        <v>4.6951199999999993</v>
      </c>
    </row>
    <row r="23" spans="1:22" s="105" customFormat="1" x14ac:dyDescent="0.25">
      <c r="A23" s="94" t="s">
        <v>39</v>
      </c>
      <c r="B23" s="114"/>
      <c r="F23" s="23" t="s">
        <v>25</v>
      </c>
      <c r="G23" s="140">
        <f>L17-G15-G32-B15</f>
        <v>1075.0646185688938</v>
      </c>
      <c r="K23" s="92"/>
      <c r="L23" s="92"/>
      <c r="M23" s="92"/>
      <c r="N23" s="92"/>
      <c r="O23" s="86" t="s">
        <v>40</v>
      </c>
      <c r="P23" s="78">
        <v>12</v>
      </c>
      <c r="Q23" s="89">
        <v>11.794</v>
      </c>
      <c r="R23" s="78"/>
      <c r="S23" s="92"/>
    </row>
    <row r="24" spans="1:22" s="105" customFormat="1" x14ac:dyDescent="0.25">
      <c r="A24" s="79" t="s">
        <v>41</v>
      </c>
      <c r="B24" s="108">
        <f>2682</f>
        <v>2682</v>
      </c>
      <c r="F24" s="23" t="s">
        <v>42</v>
      </c>
      <c r="G24" s="141">
        <f>G23/3.5</f>
        <v>307.16131959111254</v>
      </c>
      <c r="K24" s="92"/>
      <c r="L24" s="92"/>
      <c r="M24" s="92"/>
      <c r="N24" s="92"/>
      <c r="O24" s="86" t="s">
        <v>43</v>
      </c>
      <c r="P24" s="78">
        <f>7.64*0.4/3.5+7.64*0.6/2.5</f>
        <v>2.7067428571428569</v>
      </c>
      <c r="Q24" s="89">
        <v>7.6429999999999998</v>
      </c>
      <c r="R24" s="78"/>
      <c r="S24" s="92"/>
    </row>
    <row r="25" spans="1:22" s="105" customFormat="1" x14ac:dyDescent="0.25">
      <c r="A25" s="79" t="s">
        <v>44</v>
      </c>
      <c r="B25" s="96">
        <f>F47</f>
        <v>99.6</v>
      </c>
      <c r="F25" s="34"/>
      <c r="K25" s="92"/>
      <c r="L25" s="92"/>
      <c r="M25" s="92"/>
      <c r="N25" s="92"/>
      <c r="O25" s="136" t="s">
        <v>18</v>
      </c>
      <c r="P25" s="142">
        <f>SUM(P22:P24)</f>
        <v>21.637634285714284</v>
      </c>
      <c r="Q25" s="87">
        <f>Q22+Q23+Q24</f>
        <v>39</v>
      </c>
      <c r="R25" s="143">
        <f>Q25-P25</f>
        <v>17.362365714285716</v>
      </c>
      <c r="S25" s="143" t="s">
        <v>21</v>
      </c>
    </row>
    <row r="26" spans="1:22" s="105" customFormat="1" x14ac:dyDescent="0.25">
      <c r="A26" s="79" t="s">
        <v>45</v>
      </c>
      <c r="B26" s="96">
        <v>2000</v>
      </c>
      <c r="F26" s="123"/>
      <c r="H26" s="134"/>
      <c r="I26" s="135"/>
      <c r="K26" s="92"/>
      <c r="L26" s="92"/>
      <c r="M26" s="92"/>
      <c r="N26" s="92"/>
      <c r="O26" s="92"/>
      <c r="P26" s="92"/>
      <c r="Q26" s="92"/>
      <c r="S26" s="92"/>
    </row>
    <row r="27" spans="1:22" s="105" customFormat="1" x14ac:dyDescent="0.25">
      <c r="A27" s="79" t="s">
        <v>46</v>
      </c>
      <c r="B27" s="96">
        <v>1500</v>
      </c>
      <c r="M27" s="92"/>
      <c r="N27" s="92"/>
      <c r="O27" s="95" t="s">
        <v>47</v>
      </c>
      <c r="P27" s="128"/>
      <c r="Q27" s="78"/>
      <c r="S27" s="92"/>
      <c r="U27" s="105">
        <f>1018+1158+1022</f>
        <v>3198</v>
      </c>
    </row>
    <row r="28" spans="1:22" s="105" customFormat="1" x14ac:dyDescent="0.25">
      <c r="A28" s="79" t="s">
        <v>48</v>
      </c>
      <c r="B28" s="89">
        <v>164</v>
      </c>
      <c r="G28" s="123"/>
      <c r="M28" s="92"/>
      <c r="N28" s="92"/>
      <c r="O28" s="86" t="s">
        <v>49</v>
      </c>
      <c r="P28" s="89">
        <v>56.6</v>
      </c>
      <c r="Q28" s="78"/>
      <c r="R28" s="78"/>
      <c r="S28" s="92"/>
    </row>
    <row r="29" spans="1:22" s="105" customFormat="1" x14ac:dyDescent="0.25">
      <c r="A29" s="119" t="s">
        <v>50</v>
      </c>
      <c r="B29" s="120">
        <v>750</v>
      </c>
      <c r="F29" s="123"/>
      <c r="M29" s="92"/>
      <c r="N29" s="92"/>
      <c r="O29" s="86"/>
      <c r="P29" s="89"/>
      <c r="Q29" s="78"/>
      <c r="R29" s="78"/>
      <c r="S29" s="92"/>
    </row>
    <row r="30" spans="1:22" s="105" customFormat="1" x14ac:dyDescent="0.25">
      <c r="A30" s="23" t="s">
        <v>18</v>
      </c>
      <c r="B30" s="130">
        <f>SUM(B26:B29)+B35+B25</f>
        <v>6659.2000000000007</v>
      </c>
      <c r="G30" s="123"/>
      <c r="K30" s="95" t="s">
        <v>51</v>
      </c>
      <c r="L30" s="93"/>
      <c r="M30" s="92"/>
      <c r="N30" s="92"/>
      <c r="O30" s="86" t="s">
        <v>52</v>
      </c>
      <c r="P30" s="89">
        <v>77.7</v>
      </c>
      <c r="Q30" s="78"/>
      <c r="R30" s="78"/>
      <c r="S30" s="92"/>
    </row>
    <row r="31" spans="1:22" s="105" customFormat="1" x14ac:dyDescent="0.25">
      <c r="A31" s="98" t="s">
        <v>53</v>
      </c>
      <c r="B31" s="144">
        <f>B30+B15+B12+B7</f>
        <v>7857.2000000000007</v>
      </c>
      <c r="F31" s="59" t="s">
        <v>55</v>
      </c>
      <c r="G31" s="141"/>
      <c r="K31" s="117" t="s">
        <v>54</v>
      </c>
      <c r="L31" s="93">
        <f>F43-(L38-L37)</f>
        <v>134.30000000000001</v>
      </c>
      <c r="M31" s="92"/>
      <c r="N31" s="92"/>
      <c r="O31" s="136" t="s">
        <v>18</v>
      </c>
      <c r="P31" s="87">
        <f>SUM(P28:P30)</f>
        <v>134.30000000000001</v>
      </c>
      <c r="Q31" s="78"/>
      <c r="R31" s="78"/>
      <c r="S31" s="92"/>
      <c r="V31" s="92"/>
    </row>
    <row r="32" spans="1:22" s="105" customFormat="1" x14ac:dyDescent="0.25">
      <c r="B32" s="123"/>
      <c r="F32" s="80" t="s">
        <v>25</v>
      </c>
      <c r="G32" s="96">
        <f>G37*0.7</f>
        <v>2752.0440390301596</v>
      </c>
      <c r="K32" s="84" t="s">
        <v>4</v>
      </c>
      <c r="L32" s="90">
        <f>P31</f>
        <v>134.30000000000001</v>
      </c>
      <c r="M32" s="92"/>
      <c r="N32" s="92"/>
      <c r="O32" s="92"/>
      <c r="P32" s="92"/>
      <c r="Q32" s="78"/>
      <c r="R32" s="78"/>
      <c r="S32" s="92"/>
      <c r="T32" s="92"/>
    </row>
    <row r="33" spans="1:22" s="105" customFormat="1" x14ac:dyDescent="0.25">
      <c r="A33" s="145" t="s">
        <v>56</v>
      </c>
      <c r="B33" s="146"/>
      <c r="C33"/>
      <c r="F33" s="80" t="s">
        <v>28</v>
      </c>
      <c r="G33" s="96">
        <f>G37*0.26</f>
        <v>1022.187785925488</v>
      </c>
      <c r="K33" s="147" t="s">
        <v>31</v>
      </c>
      <c r="L33" s="118">
        <f>L31-L32</f>
        <v>0</v>
      </c>
      <c r="M33" s="92"/>
      <c r="N33" s="92"/>
      <c r="O33" s="148" t="s">
        <v>57</v>
      </c>
      <c r="P33" s="92"/>
      <c r="Q33" s="78"/>
      <c r="R33" s="78"/>
      <c r="S33" s="92"/>
    </row>
    <row r="34" spans="1:22" s="105" customFormat="1" ht="16.5" thickBot="1" x14ac:dyDescent="0.3">
      <c r="A34" s="149" t="s">
        <v>58</v>
      </c>
      <c r="B34" s="150">
        <f>B24*0.2</f>
        <v>536.4</v>
      </c>
      <c r="F34" s="151" t="s">
        <v>63</v>
      </c>
      <c r="G34" s="152">
        <f>G33+G32</f>
        <v>3774.2318249556474</v>
      </c>
      <c r="M34" s="92"/>
      <c r="N34" s="92"/>
      <c r="O34" s="153" t="s">
        <v>59</v>
      </c>
      <c r="P34" s="137" t="s">
        <v>34</v>
      </c>
      <c r="Q34" s="154" t="s">
        <v>60</v>
      </c>
      <c r="R34" s="155" t="s">
        <v>61</v>
      </c>
      <c r="S34" s="78"/>
    </row>
    <row r="35" spans="1:22" s="105" customFormat="1" ht="16.5" thickTop="1" x14ac:dyDescent="0.25">
      <c r="A35" s="156" t="s">
        <v>62</v>
      </c>
      <c r="B35" s="107">
        <f>B24-B34</f>
        <v>2145.6</v>
      </c>
      <c r="F35" s="80" t="s">
        <v>64</v>
      </c>
      <c r="G35" s="96">
        <f>B35</f>
        <v>2145.6</v>
      </c>
      <c r="M35" s="92"/>
      <c r="N35" s="92"/>
      <c r="O35" s="157"/>
      <c r="P35" s="158"/>
      <c r="Q35" s="159"/>
      <c r="R35" s="160"/>
      <c r="S35" s="78"/>
    </row>
    <row r="36" spans="1:22" s="105" customFormat="1" x14ac:dyDescent="0.25">
      <c r="F36" s="80" t="s">
        <v>68</v>
      </c>
      <c r="G36" s="96">
        <f>B26-E51</f>
        <v>1785.8914843287996</v>
      </c>
      <c r="K36" s="95" t="s">
        <v>65</v>
      </c>
      <c r="L36" s="93">
        <f>L37*1.06</f>
        <v>89.709348314606757</v>
      </c>
      <c r="M36" s="92"/>
      <c r="N36" s="92"/>
      <c r="O36" s="86" t="s">
        <v>66</v>
      </c>
      <c r="P36" s="78">
        <f>Q36/0.25</f>
        <v>872.02247191011236</v>
      </c>
      <c r="Q36" s="89">
        <v>218.00561797752809</v>
      </c>
      <c r="R36" s="97">
        <f>P36*0.25*1.1</f>
        <v>239.80617977528092</v>
      </c>
      <c r="S36" s="78"/>
      <c r="V36" s="92">
        <f>L11-P13-P25-R41-R48</f>
        <v>467.09108130016006</v>
      </c>
    </row>
    <row r="37" spans="1:22" s="105" customFormat="1" x14ac:dyDescent="0.25">
      <c r="A37" s="94" t="s">
        <v>67</v>
      </c>
      <c r="B37" s="114"/>
      <c r="F37" s="59" t="s">
        <v>18</v>
      </c>
      <c r="G37" s="45">
        <f>G35+G36</f>
        <v>3931.4914843287997</v>
      </c>
      <c r="H37" s="134">
        <f>G37-G34</f>
        <v>157.25965937315232</v>
      </c>
      <c r="I37" s="135" t="s">
        <v>21</v>
      </c>
      <c r="K37" s="117" t="s">
        <v>69</v>
      </c>
      <c r="L37" s="93">
        <f>P39</f>
        <v>84.63146067415731</v>
      </c>
      <c r="M37" s="92"/>
      <c r="N37" s="92"/>
      <c r="O37" s="86" t="s">
        <v>70</v>
      </c>
      <c r="P37" s="78">
        <f t="shared" ref="P37:P40" si="0">Q37/0.25</f>
        <v>230.42322097378278</v>
      </c>
      <c r="Q37" s="89">
        <v>57.605805243445694</v>
      </c>
      <c r="R37" s="97">
        <f>P37*0.25*1.1</f>
        <v>63.36638576779027</v>
      </c>
      <c r="S37" s="78"/>
    </row>
    <row r="38" spans="1:22" s="105" customFormat="1" x14ac:dyDescent="0.25">
      <c r="A38" s="80" t="s">
        <v>71</v>
      </c>
      <c r="B38" s="96"/>
      <c r="H38" s="134"/>
      <c r="K38" s="84" t="s">
        <v>72</v>
      </c>
      <c r="L38" s="90">
        <f>F43-L32+L37</f>
        <v>89.68080898876407</v>
      </c>
      <c r="M38" s="92"/>
      <c r="N38" s="92"/>
      <c r="O38" s="86" t="s">
        <v>73</v>
      </c>
      <c r="P38" s="78">
        <f>Q38*4</f>
        <v>95.719101123595507</v>
      </c>
      <c r="Q38" s="89">
        <v>23.929775280898877</v>
      </c>
      <c r="R38" s="97"/>
      <c r="S38" s="78"/>
      <c r="V38" s="92">
        <f>V36-G24</f>
        <v>159.92976170904751</v>
      </c>
    </row>
    <row r="39" spans="1:22" s="105" customFormat="1" x14ac:dyDescent="0.25">
      <c r="A39" s="80" t="s">
        <v>74</v>
      </c>
      <c r="B39" s="96"/>
      <c r="G39" s="123"/>
      <c r="K39" s="147" t="s">
        <v>31</v>
      </c>
      <c r="L39" s="118">
        <f>L38-L37</f>
        <v>5.0493483146067604</v>
      </c>
      <c r="M39" s="92"/>
      <c r="N39" s="92"/>
      <c r="O39" s="86" t="s">
        <v>75</v>
      </c>
      <c r="P39" s="78">
        <f>Q39/0.25</f>
        <v>84.63146067415731</v>
      </c>
      <c r="Q39" s="89">
        <v>21.157865168539328</v>
      </c>
      <c r="R39" s="97"/>
      <c r="S39" s="78"/>
    </row>
    <row r="40" spans="1:22" s="105" customFormat="1" x14ac:dyDescent="0.25">
      <c r="A40" s="80" t="s">
        <v>76</v>
      </c>
      <c r="B40" s="96"/>
      <c r="E40" s="59" t="s">
        <v>135</v>
      </c>
      <c r="F40" s="161"/>
      <c r="G40" s="102"/>
      <c r="K40" s="92"/>
      <c r="L40" s="92"/>
      <c r="M40" s="92"/>
      <c r="N40" s="92"/>
      <c r="O40" s="86" t="s">
        <v>77</v>
      </c>
      <c r="P40" s="78">
        <f t="shared" si="0"/>
        <v>5.0861423220973787</v>
      </c>
      <c r="Q40" s="89">
        <v>1.2715355805243447</v>
      </c>
      <c r="R40" s="97">
        <f>P40*0.25*1.1</f>
        <v>1.3986891385767792</v>
      </c>
      <c r="S40" s="78"/>
    </row>
    <row r="41" spans="1:22" s="105" customFormat="1" x14ac:dyDescent="0.25">
      <c r="A41" s="80" t="s">
        <v>78</v>
      </c>
      <c r="B41" s="96"/>
      <c r="E41" s="80" t="s">
        <v>139</v>
      </c>
      <c r="F41" s="89">
        <f>B28</f>
        <v>164</v>
      </c>
      <c r="G41" s="143">
        <f>F41-F43</f>
        <v>24.650651685393228</v>
      </c>
      <c r="H41" s="135" t="s">
        <v>21</v>
      </c>
      <c r="K41" s="92"/>
      <c r="L41" s="92"/>
      <c r="M41" s="92"/>
      <c r="N41" s="92"/>
      <c r="O41" s="131" t="s">
        <v>18</v>
      </c>
      <c r="P41" s="142">
        <f>SUM(P36:P40)</f>
        <v>1287.8823970037454</v>
      </c>
      <c r="Q41" s="87">
        <f>SUM(Q36:Q40)</f>
        <v>321.97059925093635</v>
      </c>
      <c r="R41" s="162">
        <f>R36+R37+R38+R39+R40</f>
        <v>304.57125468164799</v>
      </c>
      <c r="S41" s="143">
        <f>Q41-R41</f>
        <v>17.39934456928836</v>
      </c>
      <c r="T41" s="135" t="s">
        <v>21</v>
      </c>
    </row>
    <row r="42" spans="1:22" s="105" customFormat="1" x14ac:dyDescent="0.25">
      <c r="A42" s="80" t="s">
        <v>79</v>
      </c>
      <c r="B42" s="96"/>
      <c r="E42" s="80" t="s">
        <v>138</v>
      </c>
      <c r="F42" s="113">
        <f>F43/85*100</f>
        <v>163.94040978189034</v>
      </c>
      <c r="K42" s="92"/>
      <c r="L42" s="92"/>
      <c r="M42" s="92"/>
      <c r="N42" s="92"/>
      <c r="O42" s="92"/>
      <c r="P42" s="92"/>
      <c r="Q42" s="78"/>
      <c r="R42" s="78"/>
      <c r="S42" s="92"/>
    </row>
    <row r="43" spans="1:22" s="105" customFormat="1" x14ac:dyDescent="0.25">
      <c r="A43" s="80" t="s">
        <v>29</v>
      </c>
      <c r="B43" s="96"/>
      <c r="E43" s="23" t="s">
        <v>80</v>
      </c>
      <c r="F43" s="90">
        <f>L32+L36-F46</f>
        <v>139.34934831460677</v>
      </c>
      <c r="K43" s="92"/>
      <c r="L43" s="92"/>
      <c r="M43" s="92"/>
      <c r="N43" s="92"/>
      <c r="O43" s="153" t="s">
        <v>81</v>
      </c>
      <c r="P43" s="137" t="s">
        <v>82</v>
      </c>
      <c r="Q43" s="154" t="s">
        <v>60</v>
      </c>
      <c r="R43" s="163" t="s">
        <v>83</v>
      </c>
      <c r="S43" s="164" t="s">
        <v>84</v>
      </c>
      <c r="T43" s="165"/>
    </row>
    <row r="44" spans="1:22" s="105" customFormat="1" x14ac:dyDescent="0.25">
      <c r="A44" s="80" t="s">
        <v>30</v>
      </c>
      <c r="B44" s="96"/>
      <c r="H44" s="100"/>
      <c r="I44" s="101"/>
      <c r="K44" s="92"/>
      <c r="L44" s="92"/>
      <c r="M44" s="92"/>
      <c r="N44" s="92"/>
      <c r="O44" s="86" t="s">
        <v>86</v>
      </c>
      <c r="P44" s="78">
        <f>Q44/0.9</f>
        <v>11.291</v>
      </c>
      <c r="Q44" s="89">
        <v>10.161900000000001</v>
      </c>
      <c r="R44" s="166">
        <f>P44</f>
        <v>11.291</v>
      </c>
      <c r="S44" s="167">
        <f>Q44</f>
        <v>10.161900000000001</v>
      </c>
      <c r="T44" s="168"/>
    </row>
    <row r="45" spans="1:22" s="105" customFormat="1" x14ac:dyDescent="0.25">
      <c r="A45" s="79" t="s">
        <v>87</v>
      </c>
      <c r="B45" s="96"/>
      <c r="E45" s="94" t="s">
        <v>85</v>
      </c>
      <c r="F45" s="114"/>
      <c r="H45" s="34"/>
      <c r="I45" s="102"/>
      <c r="K45" s="92"/>
      <c r="L45" s="92"/>
      <c r="M45" s="92"/>
      <c r="N45" s="92"/>
      <c r="O45" s="86" t="s">
        <v>89</v>
      </c>
      <c r="P45" s="78">
        <f t="shared" ref="P45:P47" si="1">Q45/0.9</f>
        <v>42.497</v>
      </c>
      <c r="Q45" s="89">
        <v>38.247300000000003</v>
      </c>
      <c r="R45" s="166">
        <f>P45</f>
        <v>42.497</v>
      </c>
      <c r="S45" s="167">
        <f>Q45</f>
        <v>38.247300000000003</v>
      </c>
      <c r="T45" s="168"/>
    </row>
    <row r="46" spans="1:22" s="105" customFormat="1" x14ac:dyDescent="0.25">
      <c r="A46" s="80" t="s">
        <v>90</v>
      </c>
      <c r="B46" s="96"/>
      <c r="E46" s="23" t="s">
        <v>88</v>
      </c>
      <c r="F46" s="106">
        <f>F47*0.85</f>
        <v>84.66</v>
      </c>
      <c r="H46" s="34"/>
      <c r="I46" s="102"/>
      <c r="M46" s="92"/>
      <c r="N46" s="92"/>
      <c r="O46" s="86" t="s">
        <v>92</v>
      </c>
      <c r="P46" s="78">
        <f t="shared" si="1"/>
        <v>20.428000000000001</v>
      </c>
      <c r="Q46" s="89">
        <v>18.385200000000001</v>
      </c>
      <c r="R46" s="166">
        <f>Q51+P46</f>
        <v>20.428000000000001</v>
      </c>
      <c r="S46" s="167">
        <f>Q46+Q51</f>
        <v>18.385200000000001</v>
      </c>
      <c r="T46" s="168"/>
    </row>
    <row r="47" spans="1:22" s="105" customFormat="1" x14ac:dyDescent="0.25">
      <c r="A47" s="34" t="s">
        <v>93</v>
      </c>
      <c r="B47" s="96"/>
      <c r="E47" s="115" t="s">
        <v>91</v>
      </c>
      <c r="F47" s="116">
        <v>99.6</v>
      </c>
      <c r="G47" s="134">
        <f>F47-F46</f>
        <v>14.939999999999998</v>
      </c>
      <c r="H47" s="135" t="s">
        <v>21</v>
      </c>
      <c r="I47" s="102"/>
      <c r="M47" s="92"/>
      <c r="N47" s="92"/>
      <c r="O47" s="86" t="s">
        <v>94</v>
      </c>
      <c r="P47" s="78">
        <f t="shared" si="1"/>
        <v>1.4510000000000001</v>
      </c>
      <c r="Q47" s="89">
        <v>1.3059000000000001</v>
      </c>
      <c r="R47" s="166">
        <f>Q52+P47</f>
        <v>1.4510000000000001</v>
      </c>
      <c r="S47" s="167">
        <f>Q52+Q47</f>
        <v>1.3059000000000001</v>
      </c>
      <c r="T47" s="168"/>
    </row>
    <row r="48" spans="1:22" s="105" customFormat="1" x14ac:dyDescent="0.25">
      <c r="A48" s="23" t="s">
        <v>140</v>
      </c>
      <c r="B48" s="106"/>
      <c r="H48" s="34"/>
      <c r="I48" s="78"/>
      <c r="M48" s="92"/>
      <c r="N48" s="92"/>
      <c r="O48" s="136" t="s">
        <v>18</v>
      </c>
      <c r="P48" s="142">
        <f>SUM(P44:P47)</f>
        <v>75.666999999999987</v>
      </c>
      <c r="Q48" s="87">
        <f>SUM(Q44:Q47)</f>
        <v>68.100300000000004</v>
      </c>
      <c r="R48" s="169">
        <f>R44+R45+R46+R47</f>
        <v>75.666999999999987</v>
      </c>
      <c r="S48" s="170">
        <f>S44+S45+S46+S47</f>
        <v>68.100300000000004</v>
      </c>
      <c r="T48" s="171">
        <f>R48-S48</f>
        <v>7.5666999999999831</v>
      </c>
      <c r="U48" s="135" t="s">
        <v>21</v>
      </c>
    </row>
    <row r="49" spans="1:19" s="105" customFormat="1" x14ac:dyDescent="0.25">
      <c r="B49" s="123"/>
      <c r="D49" s="94" t="s">
        <v>95</v>
      </c>
      <c r="E49" s="109"/>
      <c r="H49" s="34"/>
      <c r="I49" s="102"/>
      <c r="N49" s="34"/>
      <c r="O49" s="104"/>
      <c r="P49" s="78"/>
      <c r="Q49" s="34"/>
      <c r="R49" s="34"/>
    </row>
    <row r="50" spans="1:19" s="105" customFormat="1" x14ac:dyDescent="0.25">
      <c r="B50" s="123"/>
      <c r="D50" s="80" t="s">
        <v>137</v>
      </c>
      <c r="E50" s="96">
        <f>B26-G36</f>
        <v>214.10851567120039</v>
      </c>
      <c r="G50" s="123"/>
      <c r="N50" s="34"/>
      <c r="O50" s="172"/>
      <c r="Q50" s="174"/>
      <c r="R50" s="175"/>
    </row>
    <row r="51" spans="1:19" s="105" customFormat="1" x14ac:dyDescent="0.25">
      <c r="A51" s="123"/>
      <c r="B51" s="123"/>
      <c r="D51" s="23" t="s">
        <v>96</v>
      </c>
      <c r="E51" s="110">
        <f>E52/38*85</f>
        <v>214.10851567120045</v>
      </c>
      <c r="G51" s="123"/>
      <c r="O51" s="34"/>
      <c r="P51" s="81"/>
      <c r="Q51" s="81"/>
      <c r="R51" s="102"/>
    </row>
    <row r="52" spans="1:19" s="105" customFormat="1" x14ac:dyDescent="0.25">
      <c r="D52" s="80" t="s">
        <v>136</v>
      </c>
      <c r="E52" s="96">
        <f>P38</f>
        <v>95.719101123595507</v>
      </c>
      <c r="G52" s="123"/>
      <c r="O52" s="82"/>
      <c r="P52" s="81"/>
      <c r="Q52" s="81"/>
      <c r="R52" s="102"/>
    </row>
    <row r="53" spans="1:19" s="105" customFormat="1" x14ac:dyDescent="0.25">
      <c r="D53" s="23" t="s">
        <v>97</v>
      </c>
      <c r="E53" s="106">
        <f>E52/38*47</f>
        <v>118.38941454760496</v>
      </c>
      <c r="G53" s="123"/>
      <c r="N53" s="34"/>
      <c r="O53" s="83"/>
      <c r="P53" s="173"/>
      <c r="Q53" s="176"/>
      <c r="R53" s="102"/>
      <c r="S53" s="135"/>
    </row>
    <row r="54" spans="1:19" s="105" customFormat="1" x14ac:dyDescent="0.25">
      <c r="D54" s="111" t="s">
        <v>31</v>
      </c>
      <c r="E54" s="112">
        <f>E52/38*15</f>
        <v>37.783855706682431</v>
      </c>
    </row>
    <row r="55" spans="1:19" s="105" customFormat="1" x14ac:dyDescent="0.25">
      <c r="O55" s="59" t="s">
        <v>141</v>
      </c>
      <c r="P55" s="177"/>
      <c r="Q55" s="178"/>
      <c r="R55" s="34"/>
    </row>
    <row r="56" spans="1:19" s="105" customFormat="1" x14ac:dyDescent="0.25">
      <c r="D56" s="105" t="s">
        <v>98</v>
      </c>
      <c r="O56" s="179" t="s">
        <v>102</v>
      </c>
      <c r="P56" s="180"/>
      <c r="Q56" s="181">
        <f>B30+B15+B12+B7</f>
        <v>7857.2000000000007</v>
      </c>
      <c r="R56" s="101"/>
    </row>
    <row r="57" spans="1:19" s="105" customFormat="1" x14ac:dyDescent="0.25">
      <c r="D57" s="105" t="s">
        <v>99</v>
      </c>
      <c r="O57" s="80" t="s">
        <v>4</v>
      </c>
      <c r="P57" s="34"/>
      <c r="Q57" s="182">
        <f>P13+P19+P25+P31+R41+R48</f>
        <v>6956.0458889673619</v>
      </c>
      <c r="R57" s="139"/>
    </row>
    <row r="58" spans="1:19" s="105" customFormat="1" x14ac:dyDescent="0.25">
      <c r="D58" s="105" t="s">
        <v>101</v>
      </c>
      <c r="O58" s="59" t="s">
        <v>104</v>
      </c>
      <c r="P58" s="177"/>
      <c r="Q58" s="45">
        <f>Q56-Q57</f>
        <v>901.15411103263887</v>
      </c>
      <c r="R58" s="183"/>
    </row>
    <row r="59" spans="1:19" s="105" customFormat="1" x14ac:dyDescent="0.25">
      <c r="D59" s="105" t="s">
        <v>103</v>
      </c>
      <c r="I59" s="123">
        <f>H19+L18+L39+G41+H37+G47+E54+T48+S41+R25+L10</f>
        <v>1568.0323109636456</v>
      </c>
      <c r="J59" s="105" t="s">
        <v>142</v>
      </c>
    </row>
    <row r="60" spans="1:19" s="105" customFormat="1" x14ac:dyDescent="0.25">
      <c r="F60" s="184"/>
      <c r="O60" s="123" t="e">
        <f>G47+I49+H38+H26+H19+L10-L18+R25+#REF!+S48+R53-Q13</f>
        <v>#REF!</v>
      </c>
    </row>
    <row r="61" spans="1:19" s="105" customFormat="1" x14ac:dyDescent="0.25">
      <c r="F61" s="184"/>
      <c r="O61" s="185"/>
    </row>
    <row r="62" spans="1:19" s="105" customFormat="1" x14ac:dyDescent="0.25">
      <c r="F62" s="184"/>
    </row>
    <row r="63" spans="1:19" s="105" customFormat="1" x14ac:dyDescent="0.25">
      <c r="F63" s="184"/>
    </row>
    <row r="64" spans="1:19" s="105" customFormat="1" x14ac:dyDescent="0.25">
      <c r="F64" s="184"/>
    </row>
    <row r="65" s="105" customFormat="1" x14ac:dyDescent="0.25"/>
    <row r="66" s="105" customFormat="1" x14ac:dyDescent="0.25"/>
    <row r="67" s="105" customFormat="1" x14ac:dyDescent="0.25"/>
    <row r="68" s="105" customFormat="1" x14ac:dyDescent="0.25"/>
    <row r="69" s="105" customFormat="1" x14ac:dyDescent="0.25"/>
    <row r="70" s="105" customFormat="1" x14ac:dyDescent="0.25"/>
    <row r="71" s="105" customFormat="1" x14ac:dyDescent="0.25"/>
    <row r="72" s="105" customFormat="1" x14ac:dyDescent="0.25"/>
    <row r="73" s="105" customFormat="1" x14ac:dyDescent="0.25"/>
    <row r="74" s="105" customFormat="1" x14ac:dyDescent="0.25"/>
    <row r="75" s="105" customFormat="1" x14ac:dyDescent="0.25"/>
    <row r="76" s="105" customFormat="1" x14ac:dyDescent="0.25"/>
    <row r="77" s="105" customFormat="1" x14ac:dyDescent="0.25"/>
    <row r="78" s="105" customFormat="1" x14ac:dyDescent="0.25"/>
    <row r="79" s="105" customFormat="1" x14ac:dyDescent="0.25"/>
    <row r="80" s="105" customFormat="1" x14ac:dyDescent="0.25"/>
    <row r="81" s="105" customFormat="1" x14ac:dyDescent="0.25"/>
    <row r="82" s="105" customFormat="1" x14ac:dyDescent="0.25"/>
    <row r="83" s="105" customFormat="1" x14ac:dyDescent="0.25"/>
    <row r="84" s="105" customFormat="1" x14ac:dyDescent="0.25"/>
    <row r="85" s="105" customFormat="1" x14ac:dyDescent="0.25"/>
    <row r="86" s="105" customFormat="1" x14ac:dyDescent="0.25"/>
    <row r="87" s="105" customFormat="1" x14ac:dyDescent="0.25"/>
    <row r="88" s="105" customFormat="1" x14ac:dyDescent="0.25"/>
    <row r="89" s="105" customFormat="1" x14ac:dyDescent="0.25"/>
    <row r="90" s="105" customFormat="1" x14ac:dyDescent="0.25"/>
    <row r="91" s="105" customFormat="1" x14ac:dyDescent="0.25"/>
    <row r="92" s="105" customFormat="1" x14ac:dyDescent="0.25"/>
    <row r="93" s="105" customFormat="1" x14ac:dyDescent="0.25"/>
    <row r="94" s="105" customFormat="1" x14ac:dyDescent="0.25"/>
    <row r="95" s="105" customFormat="1" x14ac:dyDescent="0.25"/>
    <row r="96" s="105" customFormat="1" x14ac:dyDescent="0.25"/>
    <row r="97" s="105" customFormat="1" x14ac:dyDescent="0.25"/>
    <row r="98" s="105" customFormat="1" x14ac:dyDescent="0.25"/>
    <row r="99" s="105" customFormat="1" x14ac:dyDescent="0.25"/>
    <row r="100" s="105" customFormat="1" x14ac:dyDescent="0.25"/>
    <row r="101" s="105" customFormat="1" x14ac:dyDescent="0.25"/>
    <row r="102" s="105" customFormat="1" x14ac:dyDescent="0.25"/>
    <row r="103" s="105" customFormat="1" x14ac:dyDescent="0.25"/>
    <row r="104" s="105" customFormat="1" x14ac:dyDescent="0.25"/>
    <row r="105" s="105" customFormat="1" x14ac:dyDescent="0.25"/>
    <row r="106" s="105" customFormat="1" x14ac:dyDescent="0.25"/>
    <row r="107" s="105" customFormat="1" x14ac:dyDescent="0.25"/>
    <row r="108" s="105" customFormat="1" x14ac:dyDescent="0.25"/>
    <row r="109" s="105" customFormat="1" x14ac:dyDescent="0.25"/>
    <row r="110" s="105" customFormat="1" x14ac:dyDescent="0.25"/>
    <row r="111" s="105" customFormat="1" x14ac:dyDescent="0.25"/>
    <row r="112" s="105" customFormat="1" x14ac:dyDescent="0.25"/>
    <row r="113" s="105" customFormat="1" x14ac:dyDescent="0.25"/>
    <row r="114" s="105" customFormat="1" x14ac:dyDescent="0.25"/>
    <row r="115" s="105" customFormat="1" x14ac:dyDescent="0.25"/>
    <row r="116" s="105" customFormat="1" x14ac:dyDescent="0.25"/>
    <row r="117" s="105" customFormat="1" x14ac:dyDescent="0.25"/>
    <row r="118" s="105" customFormat="1" x14ac:dyDescent="0.25"/>
    <row r="119" s="105" customFormat="1" x14ac:dyDescent="0.25"/>
    <row r="120" s="105" customFormat="1" x14ac:dyDescent="0.25"/>
    <row r="121" s="105" customFormat="1" x14ac:dyDescent="0.25"/>
    <row r="122" s="105" customFormat="1" x14ac:dyDescent="0.25"/>
    <row r="123" s="105" customFormat="1" x14ac:dyDescent="0.25"/>
    <row r="124" s="105" customFormat="1" x14ac:dyDescent="0.25"/>
    <row r="125" s="105" customFormat="1" x14ac:dyDescent="0.25"/>
    <row r="126" s="105" customFormat="1" x14ac:dyDescent="0.25"/>
    <row r="127" s="105" customFormat="1" x14ac:dyDescent="0.25"/>
    <row r="128" s="105" customFormat="1" x14ac:dyDescent="0.25"/>
    <row r="129" s="105" customFormat="1" x14ac:dyDescent="0.25"/>
    <row r="130" s="105" customFormat="1" x14ac:dyDescent="0.25"/>
    <row r="131" s="105" customFormat="1" x14ac:dyDescent="0.25"/>
    <row r="132" s="105" customFormat="1" x14ac:dyDescent="0.25"/>
    <row r="133" s="105" customFormat="1" x14ac:dyDescent="0.25"/>
    <row r="134" s="105" customFormat="1" x14ac:dyDescent="0.25"/>
    <row r="135" s="105" customFormat="1" x14ac:dyDescent="0.25"/>
    <row r="136" s="105" customFormat="1" x14ac:dyDescent="0.25"/>
    <row r="137" s="105" customFormat="1" x14ac:dyDescent="0.25"/>
    <row r="138" s="105" customFormat="1" x14ac:dyDescent="0.25"/>
    <row r="139" s="105" customFormat="1" x14ac:dyDescent="0.25"/>
    <row r="140" s="105" customFormat="1" x14ac:dyDescent="0.25"/>
    <row r="141" s="105" customFormat="1" x14ac:dyDescent="0.25"/>
    <row r="142" s="105" customFormat="1" x14ac:dyDescent="0.25"/>
    <row r="143" s="105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8"/>
  <sheetViews>
    <sheetView topLeftCell="A32" zoomScale="138" zoomScaleNormal="100" zoomScalePageLayoutView="94" workbookViewId="0">
      <selection activeCell="Q45" sqref="Q45"/>
    </sheetView>
  </sheetViews>
  <sheetFormatPr defaultColWidth="11" defaultRowHeight="15.75" x14ac:dyDescent="0.25"/>
  <cols>
    <col min="2" max="2" width="17.875" customWidth="1"/>
    <col min="7" max="7" width="19.5" customWidth="1"/>
    <col min="9" max="9" width="17.875" customWidth="1"/>
    <col min="12" max="12" width="17.875" customWidth="1"/>
    <col min="16" max="16" width="22.125" customWidth="1"/>
    <col min="17" max="17" width="16.875" customWidth="1"/>
    <col min="18" max="18" width="12.875" customWidth="1"/>
    <col min="22" max="22" width="15.5" customWidth="1"/>
    <col min="23" max="23" width="12.625" customWidth="1"/>
    <col min="25" max="26" width="12.125" customWidth="1"/>
    <col min="27" max="27" width="11" customWidth="1"/>
  </cols>
  <sheetData>
    <row r="1" spans="2:28" ht="23.25" x14ac:dyDescent="0.35">
      <c r="B1" s="1" t="s">
        <v>105</v>
      </c>
      <c r="C1" s="2"/>
      <c r="H1" s="2"/>
      <c r="Q1" s="3"/>
      <c r="V1" s="75" t="s">
        <v>106</v>
      </c>
      <c r="W1" s="75"/>
      <c r="X1" s="75"/>
      <c r="Y1" s="70"/>
      <c r="Z1" s="70"/>
      <c r="AA1" s="70"/>
      <c r="AB1" s="71"/>
    </row>
    <row r="2" spans="2:28" x14ac:dyDescent="0.25">
      <c r="B2" s="4" t="s">
        <v>2</v>
      </c>
      <c r="C2" s="5"/>
      <c r="D2" s="4"/>
      <c r="E2" s="4"/>
      <c r="F2" s="4"/>
      <c r="G2" s="4"/>
      <c r="H2" s="5"/>
      <c r="I2" s="4" t="s">
        <v>3</v>
      </c>
      <c r="J2" s="4"/>
      <c r="K2" s="4"/>
      <c r="L2" s="4"/>
      <c r="M2" s="4"/>
      <c r="N2" s="4"/>
      <c r="O2" s="4"/>
      <c r="P2" s="4" t="s">
        <v>4</v>
      </c>
      <c r="Q2" s="6"/>
      <c r="R2" s="6"/>
      <c r="V2" s="75" t="s">
        <v>107</v>
      </c>
      <c r="W2" s="75" t="s">
        <v>108</v>
      </c>
      <c r="X2" s="75" t="s">
        <v>109</v>
      </c>
      <c r="Y2" s="8"/>
      <c r="Z2" s="8"/>
      <c r="AA2" s="8"/>
      <c r="AB2" s="72"/>
    </row>
    <row r="3" spans="2:28" x14ac:dyDescent="0.25">
      <c r="B3" s="7" t="s">
        <v>5</v>
      </c>
      <c r="C3" s="2"/>
      <c r="H3" s="2"/>
      <c r="Q3" s="3"/>
      <c r="R3" s="8"/>
      <c r="V3" s="75" t="s">
        <v>11</v>
      </c>
      <c r="W3" s="75">
        <v>0.246</v>
      </c>
      <c r="X3" s="75">
        <f>W3*H14</f>
        <v>370.23</v>
      </c>
      <c r="Y3" s="8"/>
      <c r="Z3" s="8"/>
      <c r="AA3" s="8"/>
      <c r="AB3" s="72"/>
    </row>
    <row r="4" spans="2:28" x14ac:dyDescent="0.25">
      <c r="B4" s="7"/>
      <c r="C4" s="2"/>
      <c r="H4" s="2"/>
      <c r="Q4" s="3"/>
      <c r="R4" s="8"/>
      <c r="V4" s="75" t="s">
        <v>27</v>
      </c>
      <c r="W4" s="75">
        <v>0.1</v>
      </c>
      <c r="X4" s="75">
        <f>M14*W4</f>
        <v>490.98417499999999</v>
      </c>
      <c r="Y4" s="8"/>
      <c r="Z4" s="8"/>
      <c r="AA4" s="8"/>
      <c r="AB4" s="72"/>
    </row>
    <row r="5" spans="2:28" x14ac:dyDescent="0.25">
      <c r="B5" s="9" t="s">
        <v>6</v>
      </c>
      <c r="C5" s="10">
        <f>M7</f>
        <v>236</v>
      </c>
      <c r="H5" s="2"/>
      <c r="L5" s="11" t="s">
        <v>7</v>
      </c>
      <c r="M5" s="13"/>
      <c r="Q5" s="3"/>
      <c r="R5" s="8"/>
      <c r="V5" s="75" t="s">
        <v>110</v>
      </c>
      <c r="W5" s="75">
        <v>0.34</v>
      </c>
      <c r="X5" s="75">
        <f>W5*H15</f>
        <v>680</v>
      </c>
      <c r="Y5" s="8"/>
      <c r="Z5" s="8"/>
      <c r="AA5" s="8"/>
      <c r="AB5" s="72"/>
    </row>
    <row r="6" spans="2:28" x14ac:dyDescent="0.25">
      <c r="C6" s="2"/>
      <c r="H6" s="2"/>
      <c r="L6" s="17" t="s">
        <v>8</v>
      </c>
      <c r="M6" s="18">
        <f>C10+H14+H31+J43</f>
        <v>2301.570072525597</v>
      </c>
      <c r="Q6" s="3"/>
      <c r="R6" s="8"/>
      <c r="V6" s="75" t="s">
        <v>111</v>
      </c>
      <c r="W6" s="75">
        <v>0.26700000000000002</v>
      </c>
      <c r="X6" s="75">
        <f>W6*C17</f>
        <v>407.52533563285715</v>
      </c>
      <c r="Y6" s="8"/>
      <c r="Z6" s="8" t="s">
        <v>112</v>
      </c>
      <c r="AA6" s="8">
        <f>X3+X4+X5+X6+X7+X8+X9</f>
        <v>2362.5443835869974</v>
      </c>
      <c r="AB6" s="72" t="s">
        <v>113</v>
      </c>
    </row>
    <row r="7" spans="2:28" x14ac:dyDescent="0.25">
      <c r="B7" s="11" t="s">
        <v>9</v>
      </c>
      <c r="C7" s="12"/>
      <c r="H7" s="2"/>
      <c r="L7" s="20" t="s">
        <v>10</v>
      </c>
      <c r="M7" s="21">
        <v>236</v>
      </c>
      <c r="P7" s="11" t="s">
        <v>11</v>
      </c>
      <c r="Q7" s="14"/>
      <c r="R7" s="8"/>
      <c r="V7" s="75" t="s">
        <v>76</v>
      </c>
      <c r="W7" s="75">
        <v>0.20399999999999999</v>
      </c>
      <c r="X7" s="75">
        <f>W7*C18</f>
        <v>167.57375999999999</v>
      </c>
      <c r="Y7" s="8"/>
      <c r="Z7" s="8" t="s">
        <v>114</v>
      </c>
      <c r="AA7" s="8">
        <f>AA6*(24*364.25)</f>
        <v>20653363.001317531</v>
      </c>
      <c r="AB7" s="72" t="s">
        <v>115</v>
      </c>
    </row>
    <row r="8" spans="2:28" x14ac:dyDescent="0.25">
      <c r="B8" s="15" t="s">
        <v>12</v>
      </c>
      <c r="C8" s="16">
        <f>736/1000</f>
        <v>0.73599999999999999</v>
      </c>
      <c r="H8" s="2"/>
      <c r="L8" s="17" t="s">
        <v>13</v>
      </c>
      <c r="M8" s="18">
        <f>(Q11+Q21+Q45)*0.05</f>
        <v>120.82684999999999</v>
      </c>
      <c r="N8" s="2"/>
      <c r="P8" s="15" t="s">
        <v>14</v>
      </c>
      <c r="Q8" s="19">
        <v>465.065</v>
      </c>
      <c r="R8" s="8"/>
      <c r="V8" s="75" t="s">
        <v>47</v>
      </c>
      <c r="W8" s="75">
        <v>0.17</v>
      </c>
      <c r="X8" s="75">
        <f>W8*Q28</f>
        <v>22.831000000000003</v>
      </c>
      <c r="Y8" s="8"/>
      <c r="Z8" s="8"/>
      <c r="AA8" s="8"/>
      <c r="AB8" s="72"/>
    </row>
    <row r="9" spans="2:28" x14ac:dyDescent="0.25">
      <c r="B9" s="15" t="s">
        <v>15</v>
      </c>
      <c r="C9" s="18">
        <f>233854/1000</f>
        <v>233.85400000000001</v>
      </c>
      <c r="H9" s="2"/>
      <c r="L9" s="34" t="s">
        <v>16</v>
      </c>
      <c r="M9" s="3">
        <f>Q11+Q21+Q45</f>
        <v>2416.5369999999998</v>
      </c>
      <c r="P9" s="15" t="s">
        <v>17</v>
      </c>
      <c r="Q9" s="19">
        <v>1201.2629999999999</v>
      </c>
      <c r="R9" s="8"/>
      <c r="V9" s="75" t="s">
        <v>78</v>
      </c>
      <c r="W9" s="75">
        <v>6.6000000000000003E-2</v>
      </c>
      <c r="X9" s="75">
        <f>H35*W9</f>
        <v>223.40011295414041</v>
      </c>
      <c r="Y9" s="8"/>
      <c r="Z9" s="8"/>
      <c r="AA9" s="8"/>
      <c r="AB9" s="72"/>
    </row>
    <row r="10" spans="2:28" x14ac:dyDescent="0.25">
      <c r="B10" s="20" t="s">
        <v>18</v>
      </c>
      <c r="C10" s="22">
        <f>SUM(C8:C9)</f>
        <v>234.59</v>
      </c>
      <c r="H10" s="2"/>
      <c r="L10" s="23" t="s">
        <v>19</v>
      </c>
      <c r="M10" s="24">
        <f>C10/M6</f>
        <v>0.10192607333591883</v>
      </c>
      <c r="P10" s="15" t="s">
        <v>20</v>
      </c>
      <c r="Q10" s="19">
        <v>662.54200000000003</v>
      </c>
      <c r="R10" s="8"/>
      <c r="V10" s="75" t="s">
        <v>116</v>
      </c>
      <c r="W10" s="75">
        <v>0</v>
      </c>
      <c r="X10" s="75">
        <v>0</v>
      </c>
      <c r="Y10" s="73"/>
      <c r="Z10" s="73"/>
      <c r="AA10" s="73"/>
      <c r="AB10" s="74"/>
    </row>
    <row r="11" spans="2:28" x14ac:dyDescent="0.25">
      <c r="C11" s="2"/>
      <c r="H11" s="2"/>
      <c r="P11" s="9" t="s">
        <v>18</v>
      </c>
      <c r="Q11" s="25">
        <f>SUM(Q8:Q10)</f>
        <v>2328.87</v>
      </c>
      <c r="R11" s="69">
        <f>Q11-M9</f>
        <v>-87.666999999999916</v>
      </c>
    </row>
    <row r="12" spans="2:28" x14ac:dyDescent="0.25">
      <c r="B12" s="11" t="s">
        <v>22</v>
      </c>
      <c r="C12" s="12"/>
      <c r="G12" s="11" t="s">
        <v>23</v>
      </c>
      <c r="H12" s="12"/>
      <c r="Q12" s="3"/>
      <c r="R12" s="8"/>
    </row>
    <row r="13" spans="2:28" x14ac:dyDescent="0.25">
      <c r="B13" s="26" t="s">
        <v>24</v>
      </c>
      <c r="C13" s="22">
        <f>19446/1000</f>
        <v>19.446000000000002</v>
      </c>
      <c r="G13" s="17" t="s">
        <v>25</v>
      </c>
      <c r="H13" s="18">
        <f>H17*0.44</f>
        <v>1540</v>
      </c>
      <c r="L13" s="11" t="s">
        <v>26</v>
      </c>
      <c r="M13" s="13"/>
      <c r="P13" s="11" t="s">
        <v>27</v>
      </c>
      <c r="Q13" s="14"/>
      <c r="R13" s="8"/>
    </row>
    <row r="14" spans="2:28" x14ac:dyDescent="0.25">
      <c r="C14" s="2"/>
      <c r="G14" s="20" t="s">
        <v>28</v>
      </c>
      <c r="H14" s="21">
        <f>H17*0.43</f>
        <v>1505</v>
      </c>
      <c r="L14" s="17" t="s">
        <v>8</v>
      </c>
      <c r="M14" s="18">
        <f>H13+H21+J42+H30+C13</f>
        <v>4909.8417499999996</v>
      </c>
      <c r="P14" s="15" t="s">
        <v>14</v>
      </c>
      <c r="Q14" s="19">
        <v>311</v>
      </c>
      <c r="R14" s="8"/>
    </row>
    <row r="15" spans="2:28" x14ac:dyDescent="0.25">
      <c r="B15" s="11" t="s">
        <v>117</v>
      </c>
      <c r="C15" s="12"/>
      <c r="G15" s="80" t="s">
        <v>118</v>
      </c>
      <c r="H15" s="18">
        <v>2000</v>
      </c>
      <c r="L15" s="20" t="s">
        <v>4</v>
      </c>
      <c r="M15" s="21">
        <f>Q17+M16</f>
        <v>4909.2</v>
      </c>
      <c r="P15" s="15" t="s">
        <v>17</v>
      </c>
      <c r="Q15" s="19">
        <v>1033</v>
      </c>
      <c r="R15" s="8"/>
      <c r="Y15" t="s">
        <v>119</v>
      </c>
    </row>
    <row r="16" spans="2:28" x14ac:dyDescent="0.25">
      <c r="B16" s="76" t="s">
        <v>120</v>
      </c>
      <c r="C16" s="77">
        <f>H15</f>
        <v>2000</v>
      </c>
      <c r="G16" s="17" t="s">
        <v>30</v>
      </c>
      <c r="H16" s="18">
        <v>1500</v>
      </c>
      <c r="L16" s="27" t="s">
        <v>31</v>
      </c>
      <c r="M16" s="28">
        <f>Q17*0.2</f>
        <v>818.2</v>
      </c>
      <c r="P16" s="15" t="s">
        <v>20</v>
      </c>
      <c r="Q16" s="19">
        <v>2747</v>
      </c>
      <c r="R16" s="8"/>
    </row>
    <row r="17" spans="2:19" x14ac:dyDescent="0.25">
      <c r="B17" s="76" t="s">
        <v>121</v>
      </c>
      <c r="C17" s="77">
        <f>H22+Q38+Q50+Q20</f>
        <v>1526.3121184751203</v>
      </c>
      <c r="G17" s="9" t="s">
        <v>32</v>
      </c>
      <c r="H17" s="10">
        <f>SUM(H15:H16)</f>
        <v>3500</v>
      </c>
      <c r="I17" s="2">
        <f>H14+H13-H17</f>
        <v>-455</v>
      </c>
      <c r="L17" s="20"/>
      <c r="M17" s="21"/>
      <c r="P17" s="29" t="s">
        <v>18</v>
      </c>
      <c r="Q17" s="25">
        <f>SUM(Q14:Q16)</f>
        <v>4091</v>
      </c>
    </row>
    <row r="18" spans="2:19" x14ac:dyDescent="0.25">
      <c r="B18" s="15" t="s">
        <v>122</v>
      </c>
      <c r="C18" s="18">
        <f>H23+M27</f>
        <v>821.44</v>
      </c>
      <c r="H18" s="2"/>
      <c r="Q18" s="3"/>
      <c r="R18" s="8"/>
    </row>
    <row r="19" spans="2:19" x14ac:dyDescent="0.25">
      <c r="B19" s="23" t="s">
        <v>18</v>
      </c>
      <c r="C19" s="22">
        <f>SUM(C16:C18)</f>
        <v>4347.7521184751204</v>
      </c>
      <c r="H19" s="2"/>
      <c r="P19" s="11" t="s">
        <v>33</v>
      </c>
      <c r="Q19" s="30" t="s">
        <v>34</v>
      </c>
      <c r="R19" s="31" t="s">
        <v>35</v>
      </c>
    </row>
    <row r="20" spans="2:19" x14ac:dyDescent="0.25">
      <c r="C20" s="2"/>
      <c r="G20" s="11" t="s">
        <v>123</v>
      </c>
      <c r="H20" s="12"/>
      <c r="P20" s="79" t="s">
        <v>124</v>
      </c>
      <c r="Q20" s="32">
        <f>R20/0.7</f>
        <v>27.947142857142858</v>
      </c>
      <c r="R20" s="18">
        <v>19.562999999999999</v>
      </c>
    </row>
    <row r="21" spans="2:19" x14ac:dyDescent="0.25">
      <c r="B21" s="11" t="s">
        <v>39</v>
      </c>
      <c r="C21" s="12"/>
      <c r="G21" s="20" t="s">
        <v>25</v>
      </c>
      <c r="H21" s="21">
        <f>H24*0.98</f>
        <v>895.72</v>
      </c>
      <c r="P21" s="15" t="s">
        <v>40</v>
      </c>
      <c r="Q21" s="32">
        <v>12</v>
      </c>
      <c r="R21" s="18">
        <v>11.794</v>
      </c>
    </row>
    <row r="22" spans="2:19" x14ac:dyDescent="0.25">
      <c r="B22" s="15" t="s">
        <v>41</v>
      </c>
      <c r="C22" s="18">
        <f>H33</f>
        <v>2234.0011295414042</v>
      </c>
      <c r="G22" s="80" t="s">
        <v>125</v>
      </c>
      <c r="H22" s="18">
        <v>200</v>
      </c>
      <c r="P22" s="15" t="s">
        <v>126</v>
      </c>
      <c r="Q22" s="32">
        <f>R22/0.7</f>
        <v>10.918571428571429</v>
      </c>
      <c r="R22" s="18">
        <v>7.6429999999999998</v>
      </c>
    </row>
    <row r="23" spans="2:19" x14ac:dyDescent="0.25">
      <c r="B23" s="15" t="s">
        <v>44</v>
      </c>
      <c r="C23" s="18">
        <f>G43</f>
        <v>83</v>
      </c>
      <c r="G23" s="17" t="s">
        <v>76</v>
      </c>
      <c r="H23" s="18">
        <v>714</v>
      </c>
      <c r="P23" s="29" t="s">
        <v>18</v>
      </c>
      <c r="Q23" s="33">
        <f>SUM(Q20:Q22)</f>
        <v>50.86571428571429</v>
      </c>
      <c r="R23" s="10">
        <f>R20+R21+R22</f>
        <v>39</v>
      </c>
      <c r="S23" s="68">
        <f>R23-Q23</f>
        <v>-11.86571428571429</v>
      </c>
    </row>
    <row r="24" spans="2:19" x14ac:dyDescent="0.25">
      <c r="B24" s="15" t="s">
        <v>50</v>
      </c>
      <c r="C24" s="18">
        <f>H34+Q22</f>
        <v>1161.7676381620217</v>
      </c>
      <c r="G24" s="9" t="s">
        <v>32</v>
      </c>
      <c r="H24" s="10">
        <f>SUM(H22:H23)</f>
        <v>914</v>
      </c>
      <c r="I24" s="2">
        <f>H21-H24</f>
        <v>-18.279999999999973</v>
      </c>
      <c r="Q24" s="3"/>
      <c r="R24" s="8"/>
    </row>
    <row r="25" spans="2:19" x14ac:dyDescent="0.25">
      <c r="B25" s="15" t="s">
        <v>46</v>
      </c>
      <c r="C25" s="18">
        <f>H16</f>
        <v>1500</v>
      </c>
      <c r="H25" s="2"/>
      <c r="L25" s="11" t="s">
        <v>51</v>
      </c>
      <c r="M25" s="13"/>
      <c r="P25" s="11" t="s">
        <v>47</v>
      </c>
      <c r="Q25" s="14"/>
      <c r="R25" s="8"/>
    </row>
    <row r="26" spans="2:19" x14ac:dyDescent="0.25">
      <c r="B26" s="23" t="s">
        <v>18</v>
      </c>
      <c r="C26" s="22">
        <f>SUM(C22:C25)</f>
        <v>4978.7687677034264</v>
      </c>
      <c r="H26" s="2"/>
      <c r="L26" s="17" t="s">
        <v>90</v>
      </c>
      <c r="M26" s="18">
        <f>J44</f>
        <v>27</v>
      </c>
      <c r="P26" s="15" t="s">
        <v>49</v>
      </c>
      <c r="Q26" s="19">
        <v>56.6</v>
      </c>
      <c r="R26" s="8"/>
    </row>
    <row r="27" spans="2:19" x14ac:dyDescent="0.25">
      <c r="C27" s="2"/>
      <c r="H27" s="2"/>
      <c r="L27" s="20" t="s">
        <v>76</v>
      </c>
      <c r="M27" s="21">
        <v>107.44000000000001</v>
      </c>
      <c r="P27" s="15" t="s">
        <v>52</v>
      </c>
      <c r="Q27" s="19">
        <v>77.7</v>
      </c>
      <c r="R27" s="8"/>
    </row>
    <row r="28" spans="2:19" x14ac:dyDescent="0.25">
      <c r="B28" s="34" t="s">
        <v>53</v>
      </c>
      <c r="C28" s="2">
        <f>C26+C19+C13+C10+C5</f>
        <v>9816.5568861785468</v>
      </c>
      <c r="H28" s="2"/>
      <c r="L28" s="17" t="s">
        <v>8</v>
      </c>
      <c r="M28" s="18">
        <f>SUM(M26:M27)</f>
        <v>134.44</v>
      </c>
      <c r="P28" s="29" t="s">
        <v>18</v>
      </c>
      <c r="Q28" s="25">
        <f>SUM(Q26:Q27)</f>
        <v>134.30000000000001</v>
      </c>
      <c r="R28" s="8"/>
    </row>
    <row r="29" spans="2:19" x14ac:dyDescent="0.25">
      <c r="B29" s="34"/>
      <c r="C29" s="2"/>
      <c r="G29" s="11" t="s">
        <v>55</v>
      </c>
      <c r="H29" s="12"/>
      <c r="L29" s="23" t="s">
        <v>4</v>
      </c>
      <c r="M29" s="35">
        <f>Q28</f>
        <v>134.30000000000001</v>
      </c>
      <c r="Q29" s="3"/>
      <c r="R29" s="8"/>
    </row>
    <row r="30" spans="2:19" x14ac:dyDescent="0.25">
      <c r="C30" s="2"/>
      <c r="G30" s="17" t="s">
        <v>25</v>
      </c>
      <c r="H30" s="18">
        <f>(M15-C13-J42)*0.5</f>
        <v>2435.07825</v>
      </c>
      <c r="P30" s="36" t="s">
        <v>57</v>
      </c>
      <c r="Q30" s="3"/>
      <c r="R30" s="8"/>
    </row>
    <row r="31" spans="2:19" x14ac:dyDescent="0.25">
      <c r="C31" s="2"/>
      <c r="G31" s="17" t="s">
        <v>28</v>
      </c>
      <c r="H31" s="18">
        <f>H30/87.9*19.5</f>
        <v>540.20507252559719</v>
      </c>
      <c r="P31" s="37" t="s">
        <v>59</v>
      </c>
      <c r="Q31" s="30" t="s">
        <v>34</v>
      </c>
      <c r="R31" s="38" t="s">
        <v>60</v>
      </c>
    </row>
    <row r="32" spans="2:19" ht="16.5" thickBot="1" x14ac:dyDescent="0.3">
      <c r="C32" s="2"/>
      <c r="G32" s="39" t="s">
        <v>63</v>
      </c>
      <c r="H32" s="40">
        <v>2976</v>
      </c>
      <c r="P32" s="41"/>
      <c r="Q32" s="42"/>
      <c r="R32" s="43"/>
    </row>
    <row r="33" spans="3:19" ht="16.5" thickTop="1" x14ac:dyDescent="0.25">
      <c r="C33" s="2"/>
      <c r="G33" s="17" t="s">
        <v>64</v>
      </c>
      <c r="H33" s="18">
        <f>H35*0.66</f>
        <v>2234.0011295414042</v>
      </c>
      <c r="P33" s="79" t="s">
        <v>66</v>
      </c>
      <c r="Q33" s="32">
        <f>R33/0.25</f>
        <v>872.02247191011236</v>
      </c>
      <c r="R33" s="18">
        <v>218.00561797752809</v>
      </c>
    </row>
    <row r="34" spans="3:19" x14ac:dyDescent="0.25">
      <c r="C34" s="2"/>
      <c r="G34" s="17" t="s">
        <v>127</v>
      </c>
      <c r="H34" s="18">
        <f>H35-H33</f>
        <v>1150.8490667334504</v>
      </c>
      <c r="P34" s="79" t="s">
        <v>70</v>
      </c>
      <c r="Q34" s="32">
        <f t="shared" ref="Q34:Q37" si="0">R34/0.25</f>
        <v>230.42322097378278</v>
      </c>
      <c r="R34" s="18">
        <v>57.605805243445694</v>
      </c>
    </row>
    <row r="35" spans="3:19" x14ac:dyDescent="0.25">
      <c r="C35" s="2"/>
      <c r="G35" s="9" t="s">
        <v>18</v>
      </c>
      <c r="H35" s="10">
        <f>SUM(H30:H31)/0.879</f>
        <v>3384.8501962748546</v>
      </c>
      <c r="I35" s="2">
        <f>H32-H35</f>
        <v>-408.85019627485462</v>
      </c>
      <c r="P35" s="17" t="s">
        <v>128</v>
      </c>
      <c r="Q35" s="32">
        <f t="shared" si="0"/>
        <v>95.719101123595507</v>
      </c>
      <c r="R35" s="18">
        <v>23.929775280898877</v>
      </c>
    </row>
    <row r="36" spans="3:19" x14ac:dyDescent="0.25">
      <c r="C36" s="2"/>
      <c r="H36" s="2"/>
      <c r="P36" s="79" t="s">
        <v>129</v>
      </c>
      <c r="Q36" s="32">
        <f t="shared" si="0"/>
        <v>84.63146067415731</v>
      </c>
      <c r="R36" s="18">
        <v>21.157865168539328</v>
      </c>
    </row>
    <row r="37" spans="3:19" x14ac:dyDescent="0.25">
      <c r="C37" s="2"/>
      <c r="H37" s="44"/>
      <c r="P37" s="79" t="s">
        <v>77</v>
      </c>
      <c r="Q37" s="32">
        <f t="shared" si="0"/>
        <v>5.0861423220973787</v>
      </c>
      <c r="R37" s="18">
        <v>1.2715355805243447</v>
      </c>
    </row>
    <row r="38" spans="3:19" x14ac:dyDescent="0.25">
      <c r="C38" s="2"/>
      <c r="P38" s="9" t="s">
        <v>18</v>
      </c>
      <c r="Q38" s="33">
        <f>SUM(Q33:Q37)</f>
        <v>1287.8823970037454</v>
      </c>
      <c r="R38" s="45">
        <f>SUM(R33:R37)</f>
        <v>321.97059925093635</v>
      </c>
      <c r="S38" s="2">
        <f>R38-Q38</f>
        <v>-965.91179775280898</v>
      </c>
    </row>
    <row r="39" spans="3:19" x14ac:dyDescent="0.25">
      <c r="C39" s="2"/>
      <c r="Q39" s="3"/>
      <c r="R39" s="8"/>
    </row>
    <row r="40" spans="3:19" ht="16.5" thickBot="1" x14ac:dyDescent="0.3">
      <c r="C40" s="2"/>
      <c r="P40" s="37" t="s">
        <v>81</v>
      </c>
      <c r="Q40" s="30" t="s">
        <v>34</v>
      </c>
      <c r="R40" s="38" t="s">
        <v>60</v>
      </c>
    </row>
    <row r="41" spans="3:19" ht="16.5" thickBot="1" x14ac:dyDescent="0.3">
      <c r="C41" s="2"/>
      <c r="F41" s="50" t="s">
        <v>85</v>
      </c>
      <c r="G41" s="47"/>
      <c r="I41" s="53" t="s">
        <v>130</v>
      </c>
      <c r="J41" s="54">
        <f>G42</f>
        <v>70.55</v>
      </c>
      <c r="P41" s="15" t="s">
        <v>86</v>
      </c>
      <c r="Q41" s="32">
        <f>R41/0.9</f>
        <v>11.291</v>
      </c>
      <c r="R41" s="18">
        <v>10.161900000000001</v>
      </c>
    </row>
    <row r="42" spans="3:19" x14ac:dyDescent="0.25">
      <c r="C42" s="2"/>
      <c r="F42" s="52" t="s">
        <v>88</v>
      </c>
      <c r="G42" s="61">
        <f>G43*0.85</f>
        <v>70.55</v>
      </c>
      <c r="I42" s="46" t="s">
        <v>25</v>
      </c>
      <c r="J42" s="47">
        <f>(J41-J44)*(0.89-0.44)</f>
        <v>19.5975</v>
      </c>
      <c r="P42" s="15" t="s">
        <v>89</v>
      </c>
      <c r="Q42" s="32">
        <f t="shared" ref="Q42:Q44" si="1">R42/0.9</f>
        <v>42.497</v>
      </c>
      <c r="R42" s="18">
        <v>38.247300000000003</v>
      </c>
    </row>
    <row r="43" spans="3:19" ht="16.5" thickBot="1" x14ac:dyDescent="0.3">
      <c r="C43" s="2"/>
      <c r="F43" s="55" t="s">
        <v>91</v>
      </c>
      <c r="G43" s="56">
        <v>83</v>
      </c>
      <c r="I43" s="48" t="s">
        <v>28</v>
      </c>
      <c r="J43" s="49">
        <f>(J41-J44)*0.5</f>
        <v>21.774999999999999</v>
      </c>
      <c r="P43" s="15" t="s">
        <v>92</v>
      </c>
      <c r="Q43" s="32">
        <f t="shared" si="1"/>
        <v>20.428000000000001</v>
      </c>
      <c r="R43" s="18">
        <v>18.385200000000001</v>
      </c>
    </row>
    <row r="44" spans="3:19" x14ac:dyDescent="0.25">
      <c r="C44" s="2"/>
      <c r="G44" s="44">
        <f>G42-G43</f>
        <v>-12.450000000000003</v>
      </c>
      <c r="I44" s="51" t="s">
        <v>131</v>
      </c>
      <c r="J44" s="60">
        <v>27</v>
      </c>
      <c r="P44" s="15" t="s">
        <v>94</v>
      </c>
      <c r="Q44" s="32">
        <f t="shared" si="1"/>
        <v>1.4510000000000001</v>
      </c>
      <c r="R44" s="18">
        <v>1.3059000000000001</v>
      </c>
      <c r="S44" s="3"/>
    </row>
    <row r="45" spans="3:19" x14ac:dyDescent="0.25">
      <c r="C45" s="2"/>
      <c r="J45" s="2">
        <f>J42+J43+J44-J41</f>
        <v>-2.1774999999999949</v>
      </c>
      <c r="P45" s="29" t="s">
        <v>18</v>
      </c>
      <c r="Q45" s="33">
        <f>SUM(Q41:Q44)</f>
        <v>75.666999999999987</v>
      </c>
      <c r="R45" s="10">
        <f>SUM(R41:R44)</f>
        <v>68.100300000000004</v>
      </c>
      <c r="S45" s="2">
        <f>R45-Q45</f>
        <v>-7.5666999999999831</v>
      </c>
    </row>
    <row r="46" spans="3:19" x14ac:dyDescent="0.25">
      <c r="C46" s="2"/>
      <c r="I46" s="8"/>
      <c r="P46" s="57"/>
      <c r="Q46" s="3"/>
      <c r="R46" s="8"/>
    </row>
    <row r="47" spans="3:19" x14ac:dyDescent="0.25">
      <c r="C47" s="2"/>
      <c r="H47" s="2"/>
      <c r="I47" s="8"/>
      <c r="P47" s="58" t="s">
        <v>132</v>
      </c>
      <c r="Q47" s="30" t="s">
        <v>34</v>
      </c>
      <c r="R47" s="38" t="s">
        <v>60</v>
      </c>
    </row>
    <row r="48" spans="3:19" x14ac:dyDescent="0.25">
      <c r="C48" s="2"/>
      <c r="H48" s="2"/>
      <c r="P48" s="15" t="s">
        <v>133</v>
      </c>
      <c r="Q48" s="78">
        <f>R48/0.25</f>
        <v>10.426749134831459</v>
      </c>
      <c r="R48" s="18">
        <v>2.6066872837078647</v>
      </c>
    </row>
    <row r="49" spans="3:19" x14ac:dyDescent="0.25">
      <c r="C49" s="2"/>
      <c r="H49" s="2"/>
      <c r="P49" s="15" t="s">
        <v>134</v>
      </c>
      <c r="Q49" s="32">
        <f>R49/0.25</f>
        <v>5.5829479400749067E-2</v>
      </c>
      <c r="R49" s="18">
        <v>1.3957369850187267E-2</v>
      </c>
    </row>
    <row r="50" spans="3:19" x14ac:dyDescent="0.25">
      <c r="C50" s="2"/>
      <c r="H50" s="2"/>
      <c r="P50" s="59" t="s">
        <v>18</v>
      </c>
      <c r="Q50" s="33">
        <f>SUM(Q48:Q49)</f>
        <v>10.482578614232208</v>
      </c>
      <c r="R50" s="10">
        <f>SUM(R48:R49)</f>
        <v>2.6206446535580521</v>
      </c>
      <c r="S50" s="2">
        <f>R50-Q50</f>
        <v>-7.8619339606741558</v>
      </c>
    </row>
    <row r="51" spans="3:19" x14ac:dyDescent="0.25">
      <c r="H51" s="2"/>
    </row>
    <row r="52" spans="3:19" x14ac:dyDescent="0.25">
      <c r="P52" s="9" t="s">
        <v>100</v>
      </c>
      <c r="Q52" s="65"/>
      <c r="R52" s="67"/>
    </row>
    <row r="53" spans="3:19" x14ac:dyDescent="0.25">
      <c r="P53" s="62" t="s">
        <v>102</v>
      </c>
      <c r="Q53" s="63"/>
      <c r="R53" s="64">
        <f>C26+C19+C13+C10+C5</f>
        <v>9816.5568861785468</v>
      </c>
    </row>
    <row r="54" spans="3:19" x14ac:dyDescent="0.25">
      <c r="P54" s="17" t="s">
        <v>4</v>
      </c>
      <c r="Q54" s="8"/>
      <c r="R54" s="66">
        <f>Q11+Q17+R23+Q28+R38+R45+R50</f>
        <v>6985.8615439044943</v>
      </c>
    </row>
    <row r="55" spans="3:19" x14ac:dyDescent="0.25">
      <c r="P55" s="9" t="s">
        <v>104</v>
      </c>
      <c r="Q55" s="65"/>
      <c r="R55" s="10">
        <f>R53-R54</f>
        <v>2830.6953422740526</v>
      </c>
    </row>
    <row r="57" spans="3:19" x14ac:dyDescent="0.25">
      <c r="P57" s="2">
        <f>G44+J45+I35+I24+I17+M8-M16+S23+S38+S45+S50-R11</f>
        <v>-2499.6699922740522</v>
      </c>
    </row>
    <row r="58" spans="3:19" x14ac:dyDescent="0.25">
      <c r="P58" s="36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9C72D0F88DB48AD5367BEF4DAF427" ma:contentTypeVersion="9" ma:contentTypeDescription="Create a new document." ma:contentTypeScope="" ma:versionID="80aa7ae9966bb43301735629c7294fdb">
  <xsd:schema xmlns:xsd="http://www.w3.org/2001/XMLSchema" xmlns:xs="http://www.w3.org/2001/XMLSchema" xmlns:p="http://schemas.microsoft.com/office/2006/metadata/properties" xmlns:ns2="636c69a6-f223-48c6-b0f2-8330d9fd5578" targetNamespace="http://schemas.microsoft.com/office/2006/metadata/properties" ma:root="true" ma:fieldsID="09b7cf2a03792bab1d38e3270488f233" ns2:_="">
    <xsd:import namespace="636c69a6-f223-48c6-b0f2-8330d9fd5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c69a6-f223-48c6-b0f2-8330d9fd55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FFAAF-79E1-405A-B0BA-4D6DC13CDE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587E95-2024-465A-B81D-58CE2CF78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6c69a6-f223-48c6-b0f2-8330d9fd5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2AF934-04FF-411B-994A-926D25CA6AE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636c69a6-f223-48c6-b0f2-8330d9fd557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Energibalance 2025</vt:lpstr>
      <vt:lpstr>Energibalance - Gamle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Office-bruger</dc:creator>
  <cp:keywords/>
  <dc:description/>
  <cp:lastModifiedBy>Aida .</cp:lastModifiedBy>
  <cp:revision/>
  <cp:lastPrinted>2021-03-10T09:11:25Z</cp:lastPrinted>
  <dcterms:created xsi:type="dcterms:W3CDTF">2018-09-23T08:48:57Z</dcterms:created>
  <dcterms:modified xsi:type="dcterms:W3CDTF">2021-03-11T10:57:08Z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0x0101009319C72D0F88DB48AD5367BEF4DAF427</vt:lpwstr>
  </property>
</Properties>
</file>